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bridge.sharepoint.com/teams/EganvilleCommunityExpansionProject/Interrogatory Responses/"/>
    </mc:Choice>
  </mc:AlternateContent>
  <xr:revisionPtr revIDLastSave="37" documentId="13_ncr:1_{D8C14D0E-C8B8-435E-BF29-5B19AB18014F}" xr6:coauthVersionLast="47" xr6:coauthVersionMax="47" xr10:uidLastSave="{D9A896D8-5C30-45DE-AC97-5028E3DC5425}"/>
  <bookViews>
    <workbookView xWindow="-120" yWindow="-120" windowWidth="29040" windowHeight="15840" xr2:uid="{77380A63-7CA5-49CE-BEB1-D427DC83463A}"/>
  </bookViews>
  <sheets>
    <sheet name="Figure 1" sheetId="9" r:id="rId1"/>
    <sheet name="Table 1" sheetId="10" r:id="rId2"/>
    <sheet name="Price Comparison" sheetId="8" r:id="rId3"/>
    <sheet name="Efficiency-Adjusted Conversion" sheetId="3" r:id="rId4"/>
    <sheet name="Energy Conversion" sheetId="2" r:id="rId5"/>
    <sheet name="Efficiency Factors" sheetId="1" r:id="rId6"/>
    <sheet name="Natural Gas Price ($ per m3)" sheetId="4" r:id="rId7"/>
    <sheet name="Oil Price ($ per L)" sheetId="5" r:id="rId8"/>
    <sheet name="Electricity Price ($ per kWh)" sheetId="6" r:id="rId9"/>
    <sheet name="Propane Price ($ per L)" sheetId="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0" l="1"/>
  <c r="D4" i="10"/>
  <c r="D3" i="10"/>
  <c r="D8" i="10" s="1"/>
  <c r="G26" i="6" l="1"/>
  <c r="G25" i="6"/>
  <c r="C20" i="5" l="1"/>
  <c r="F7" i="5"/>
  <c r="E7" i="5"/>
  <c r="E27" i="4" l="1"/>
  <c r="E25" i="4"/>
  <c r="C50" i="7" l="1"/>
  <c r="C49" i="7"/>
  <c r="C46" i="7"/>
  <c r="C10" i="7"/>
  <c r="G10" i="7"/>
  <c r="D43" i="2" l="1"/>
  <c r="D42" i="2"/>
  <c r="D41" i="2"/>
  <c r="E8" i="5" l="1"/>
  <c r="F8" i="5" s="1"/>
  <c r="E9" i="5"/>
  <c r="F9" i="5"/>
  <c r="E10" i="5"/>
  <c r="F10" i="5"/>
  <c r="I12" i="1" l="1"/>
  <c r="H12" i="1"/>
  <c r="G12" i="1"/>
  <c r="F12" i="1"/>
  <c r="E8" i="8"/>
  <c r="D10" i="7" l="1"/>
  <c r="D11" i="7" l="1"/>
  <c r="D12" i="7" l="1"/>
  <c r="C11" i="7"/>
  <c r="G11" i="7" s="1"/>
  <c r="C12" i="7" l="1"/>
  <c r="G12" i="7" s="1"/>
  <c r="D13" i="7"/>
  <c r="D14" i="7" l="1"/>
  <c r="C13" i="7"/>
  <c r="G13" i="7" s="1"/>
  <c r="D15" i="7" l="1"/>
  <c r="C14" i="7"/>
  <c r="G14" i="7" s="1"/>
  <c r="C15" i="7" l="1"/>
  <c r="G15" i="7" s="1"/>
  <c r="D16" i="7"/>
  <c r="D17" i="7" l="1"/>
  <c r="C16" i="7"/>
  <c r="G16" i="7" s="1"/>
  <c r="C17" i="7" l="1"/>
  <c r="G17" i="7" s="1"/>
  <c r="D18" i="7"/>
  <c r="C18" i="7" l="1"/>
  <c r="G18" i="7" s="1"/>
  <c r="D19" i="7"/>
  <c r="D20" i="7" l="1"/>
  <c r="C19" i="7"/>
  <c r="G19" i="7" s="1"/>
  <c r="C20" i="7" l="1"/>
  <c r="G20" i="7" s="1"/>
  <c r="D21" i="7"/>
  <c r="D22" i="7" l="1"/>
  <c r="C21" i="7"/>
  <c r="G21" i="7" s="1"/>
  <c r="D23" i="7" l="1"/>
  <c r="C22" i="7"/>
  <c r="G22" i="7" s="1"/>
  <c r="C23" i="7" l="1"/>
  <c r="G23" i="7" s="1"/>
  <c r="D24" i="7"/>
  <c r="D25" i="7" l="1"/>
  <c r="C24" i="7"/>
  <c r="G24" i="7" s="1"/>
  <c r="C25" i="7" l="1"/>
  <c r="G25" i="7" s="1"/>
  <c r="D26" i="7"/>
  <c r="C26" i="7" l="1"/>
  <c r="G26" i="7" s="1"/>
  <c r="D27" i="7"/>
  <c r="D28" i="7" l="1"/>
  <c r="C27" i="7"/>
  <c r="G27" i="7" s="1"/>
  <c r="C28" i="7" l="1"/>
  <c r="G28" i="7" s="1"/>
  <c r="D29" i="7"/>
  <c r="D30" i="7" l="1"/>
  <c r="C29" i="7"/>
  <c r="G29" i="7" s="1"/>
  <c r="D31" i="7" l="1"/>
  <c r="C30" i="7"/>
  <c r="G30" i="7" s="1"/>
  <c r="C31" i="7" l="1"/>
  <c r="G31" i="7" s="1"/>
  <c r="D32" i="7"/>
  <c r="D33" i="7" l="1"/>
  <c r="C32" i="7"/>
  <c r="G32" i="7" s="1"/>
  <c r="C33" i="7" l="1"/>
  <c r="G33" i="7" s="1"/>
  <c r="D34" i="7"/>
  <c r="C34" i="7" l="1"/>
  <c r="G34" i="7" s="1"/>
  <c r="D35" i="7"/>
  <c r="D36" i="7" l="1"/>
  <c r="C35" i="7"/>
  <c r="G35" i="7" s="1"/>
  <c r="C36" i="7" l="1"/>
  <c r="G36" i="7" s="1"/>
  <c r="D37" i="7"/>
  <c r="D38" i="7" l="1"/>
  <c r="C37" i="7"/>
  <c r="G37" i="7" s="1"/>
  <c r="D39" i="7" l="1"/>
  <c r="C38" i="7"/>
  <c r="G38" i="7" s="1"/>
  <c r="C39" i="7" l="1"/>
  <c r="G39" i="7" s="1"/>
  <c r="D40" i="7"/>
  <c r="D41" i="7" l="1"/>
  <c r="D42" i="7" s="1"/>
  <c r="C40" i="7"/>
  <c r="G40" i="7" s="1"/>
  <c r="C42" i="7" l="1"/>
  <c r="G42" i="7" s="1"/>
  <c r="D43" i="7"/>
  <c r="C41" i="7"/>
  <c r="G41" i="7" s="1"/>
  <c r="C43" i="7" l="1"/>
  <c r="G43" i="7" s="1"/>
  <c r="C48" i="7"/>
  <c r="C51" i="7" s="1"/>
  <c r="H11" i="8" l="1"/>
  <c r="H7" i="8" s="1"/>
  <c r="G17" i="6"/>
  <c r="G16" i="6"/>
  <c r="G14" i="6"/>
  <c r="C15" i="6"/>
  <c r="C16" i="6" s="1"/>
  <c r="C3" i="6"/>
  <c r="F11" i="8"/>
  <c r="F7" i="8" s="1"/>
  <c r="E21" i="4"/>
  <c r="E11" i="8" s="1"/>
  <c r="E30" i="2"/>
  <c r="C12" i="1"/>
  <c r="G27" i="6" l="1"/>
  <c r="G11" i="8"/>
  <c r="G7" i="8" s="1"/>
  <c r="E9" i="3"/>
  <c r="G8" i="8" s="1"/>
  <c r="D9" i="3"/>
  <c r="F8" i="8" s="1"/>
  <c r="F9" i="8" s="1"/>
  <c r="F9" i="3"/>
  <c r="H8" i="8" s="1"/>
  <c r="H9" i="8" s="1"/>
  <c r="E7" i="8"/>
  <c r="E9" i="8"/>
  <c r="G9" i="8" l="1"/>
  <c r="G13" i="8" s="1"/>
  <c r="G14" i="8" s="1"/>
  <c r="F13" i="8"/>
  <c r="F14" i="8" s="1"/>
  <c r="H13" i="8"/>
  <c r="H1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tc={09817268-DCD4-42E7-883C-1CF242E84FAF}</author>
    <author>tc={A0B0E7DD-F89E-4F68-9B3A-88FD50A73C6A}</author>
  </authors>
  <commentList>
    <comment ref="B1" authorId="0" shapeId="0" xr:uid="{09817268-DCD4-42E7-883C-1CF242E84FAF}">
      <text>
        <t>[Threaded comment]
Your version of Excel allows you to read this threaded comment; however, any edits to it will get removed if the file is opened in a newer version of Excel. Learn more: https://go.microsoft.com/fwlink/?linkid=870924
Comment:
    % comes from Market Research</t>
      </text>
    </comment>
    <comment ref="C1" authorId="1" shapeId="0" xr:uid="{A0B0E7DD-F89E-4F68-9B3A-88FD50A73C6A}">
      <text>
        <t>[Threaded comment]
Your version of Excel allows you to read this threaded comment; however, any edits to it will get removed if the file is opened in a newer version of Excel. Learn more: https://go.microsoft.com/fwlink/?linkid=870924
Comment:
    Rate Zone 1</t>
      </text>
    </comment>
  </commentList>
</comments>
</file>

<file path=xl/sharedStrings.xml><?xml version="1.0" encoding="utf-8"?>
<sst xmlns="http://schemas.openxmlformats.org/spreadsheetml/2006/main" count="244" uniqueCount="172">
  <si>
    <t xml:space="preserve">Rate 1 
Annual Space &amp; Water Heating Cost </t>
  </si>
  <si>
    <t>Notes: Natural gas price is based on Rate 1 rates in effect as of July 1, 2023, and includes the $0.23 per m³ expansion surcharge. Oil and propane prices are based on the latest available retail prices at the time of comparison. Electricity rates based on Hydro One Distribution rates (Mid-density R1) as of Jan. 1, 2023, and Regulated Price Plan (RPP) customers that are on Time-Of-Use (TOU) pricing. It includes the Ontario Electricity Rebate (OER). Electric cold climate air source heat pumps are available but not included in the savings calculations. Costs have been calculated for the equivalent energy consumed and include all service, delivery and energy charges. The Federal carbon charge is included for all energy types as reported and expected to increase annually depending on government policies. HST is not included.</t>
  </si>
  <si>
    <t>Annual Energy Price Comparison for a Typical Residential Customer living in the EGD Rate Zone, Rate 1 (Space &amp; Water Heating)</t>
  </si>
  <si>
    <t>Including SES</t>
  </si>
  <si>
    <t>Annual Cost Comparison: 
Space &amp; Water Heating</t>
  </si>
  <si>
    <t>Natural Gas</t>
  </si>
  <si>
    <t>Heating Oil</t>
  </si>
  <si>
    <t>Electricity</t>
  </si>
  <si>
    <t>Propane</t>
  </si>
  <si>
    <t>Annual Consumption</t>
  </si>
  <si>
    <t>Annual Contribution to Energy Bill</t>
  </si>
  <si>
    <t>Energy Cost per Unit</t>
  </si>
  <si>
    <t>Annual Natural Gas Savings ($)</t>
  </si>
  <si>
    <t>Annual Natural Gas Savings (%)</t>
  </si>
  <si>
    <t>Notes</t>
  </si>
  <si>
    <t>(1)</t>
  </si>
  <si>
    <t xml:space="preserve">For EGD rate zone, the natural gas consumption assumption for a typical residential customer is 2,400m3. All comparisons are based on an energy-equivalent annual consumption level of 2,400 m3/yr. </t>
  </si>
  <si>
    <t xml:space="preserve">The energy-equivalent annual consumption for other energy sources (Electricity, Oil and Propane) are calculated as: </t>
  </si>
  <si>
    <t>Natural gas consumption (2,400 m3) * Conversion from m3 to GJ * Conversions from GJ to kwh (for electricity) and to L (for oil and propane)</t>
  </si>
  <si>
    <t>(2)</t>
  </si>
  <si>
    <t xml:space="preserve">The energy cost per unit for each energy source is based on the latest actual data available </t>
  </si>
  <si>
    <t>a)</t>
  </si>
  <si>
    <t>Natural Gas cost per unit for a typical residential customer is from the July 2023 QRAM filing for EGD (EB-2023-0134). Please refer to 'Natural Gas Price ($ per m3)' tab for a detailed calculation.</t>
  </si>
  <si>
    <t>b)</t>
  </si>
  <si>
    <t>Oil cost per unit is from Statistics Canada using the latest available monthly retail price at the time of comparison. Please refer to 'Heating Oil Price ($ per L)' tab for a detailed calculation.</t>
  </si>
  <si>
    <t>c)</t>
  </si>
  <si>
    <t>Electricity cost per unit is from Hydro One Networks Inc. (EB-2021-0110),  Tariff of Rates and Charges, Effective and Implementation Date January 1, 2023. Please refer to 'Electricity Price ($ per kWh)' tab for a detailed calculation.</t>
  </si>
  <si>
    <t>d)</t>
  </si>
  <si>
    <t>Propane cost per unit is calculated using a monthly average of the latest residential retail prices available at the time of comparison and factors in the actual carbon tax. Please refer to 'Propane Price ($ per L)' tab for a detailed calculation.</t>
  </si>
  <si>
    <t>Efficiency-Adjusted Energy Source Conversion</t>
  </si>
  <si>
    <t>Table 1</t>
  </si>
  <si>
    <t>Energy</t>
  </si>
  <si>
    <t xml:space="preserve"> Energy Units</t>
  </si>
  <si>
    <t>m3</t>
  </si>
  <si>
    <t>L</t>
  </si>
  <si>
    <t>kWh</t>
  </si>
  <si>
    <t>EGD Rate Zone - Residential Rate 1</t>
  </si>
  <si>
    <t>Energy Conversion Assumptions</t>
  </si>
  <si>
    <r>
      <t>Table 1</t>
    </r>
    <r>
      <rPr>
        <sz val="11"/>
        <color theme="1"/>
        <rFont val="Arial"/>
        <family val="2"/>
      </rPr>
      <t xml:space="preserve"> (1)</t>
    </r>
  </si>
  <si>
    <t>Unit</t>
  </si>
  <si>
    <t>Equivalent Value</t>
  </si>
  <si>
    <t>Equivalent Unit</t>
  </si>
  <si>
    <t>1.0 Gigajoules (GJ)</t>
  </si>
  <si>
    <t>Kilowatt-hours (kW.h)</t>
  </si>
  <si>
    <t>1.0 Kilowatt-hours (kW.h)</t>
  </si>
  <si>
    <t>Gigajoules (GJ)</t>
  </si>
  <si>
    <t>Note:</t>
  </si>
  <si>
    <t>(1) Sourced from https://apps.cer-rec.gc.ca/Conversion/conversion-tables.aspx?GoCTemplateCulture=en-CA</t>
  </si>
  <si>
    <r>
      <t>Table 2</t>
    </r>
    <r>
      <rPr>
        <sz val="11"/>
        <color theme="1"/>
        <rFont val="Arial"/>
        <family val="2"/>
      </rPr>
      <t xml:space="preserve"> (1)</t>
    </r>
  </si>
  <si>
    <t>Substance</t>
  </si>
  <si>
    <t>1.0 Cubic metres (m³)</t>
  </si>
  <si>
    <t> Gigajoules (GJ)</t>
  </si>
  <si>
    <t>Table 3</t>
  </si>
  <si>
    <t>Enbridge Gas unit of Measure Conversion Information</t>
  </si>
  <si>
    <t>EGD Rate Zone (1)</t>
  </si>
  <si>
    <r>
      <t>Heat Value (MJ/m</t>
    </r>
    <r>
      <rPr>
        <vertAlign val="superscript"/>
        <sz val="11"/>
        <color theme="1"/>
        <rFont val="Arial"/>
        <family val="2"/>
      </rPr>
      <t>3</t>
    </r>
    <r>
      <rPr>
        <sz val="11"/>
        <color theme="1"/>
        <rFont val="Arial"/>
        <family val="2"/>
      </rPr>
      <t>)</t>
    </r>
  </si>
  <si>
    <r>
      <t>Conversion Factor (GJ/m</t>
    </r>
    <r>
      <rPr>
        <vertAlign val="superscript"/>
        <sz val="11"/>
        <color theme="1"/>
        <rFont val="Arial"/>
        <family val="2"/>
      </rPr>
      <t>3</t>
    </r>
    <r>
      <rPr>
        <sz val="11"/>
        <color theme="1"/>
        <rFont val="Arial"/>
        <family val="2"/>
      </rPr>
      <t>)</t>
    </r>
  </si>
  <si>
    <t>Note</t>
  </si>
  <si>
    <r>
      <t>(1) Sourced from EB-2022-0286, Rate Handbook, Rate 1 Residential Service (MJ/m</t>
    </r>
    <r>
      <rPr>
        <vertAlign val="superscript"/>
        <sz val="11"/>
        <color theme="1"/>
        <rFont val="Arial"/>
        <family val="2"/>
      </rPr>
      <t>3</t>
    </r>
    <r>
      <rPr>
        <sz val="11"/>
        <color theme="1"/>
        <rFont val="Arial"/>
        <family val="2"/>
      </rPr>
      <t>)</t>
    </r>
  </si>
  <si>
    <t>Table 4</t>
  </si>
  <si>
    <t>Energy Price Conversion</t>
  </si>
  <si>
    <t>Starting Unit</t>
  </si>
  <si>
    <t>Conversion</t>
  </si>
  <si>
    <t>Conversion Unit</t>
  </si>
  <si>
    <t>GJ</t>
  </si>
  <si>
    <t>Efficiency Factor Assumptions</t>
  </si>
  <si>
    <t>Table 2</t>
  </si>
  <si>
    <t>Current Assumed Base Load and Heat Load Proportions</t>
  </si>
  <si>
    <t>Current Efficiency Factors for a Typical Residential Customer - Rate 1</t>
  </si>
  <si>
    <t>Heat Load:</t>
  </si>
  <si>
    <t>Space Heating (SH)</t>
  </si>
  <si>
    <t>Base Load:</t>
  </si>
  <si>
    <t>Domestic Water Heating (DWH)</t>
  </si>
  <si>
    <t>Total Load</t>
  </si>
  <si>
    <t>Total</t>
  </si>
  <si>
    <t>Natural Gas Assumptions</t>
  </si>
  <si>
    <t>Typical Residenital Customer Total Bill Impacts (1)</t>
  </si>
  <si>
    <t>EGD</t>
  </si>
  <si>
    <t>Rates Effective:</t>
  </si>
  <si>
    <t>July. 1, 2023</t>
  </si>
  <si>
    <t>Volume</t>
  </si>
  <si>
    <t>Customer Charge</t>
  </si>
  <si>
    <t>$</t>
  </si>
  <si>
    <t>Distribution Charge</t>
  </si>
  <si>
    <t>Load Balancing</t>
  </si>
  <si>
    <t>Transportation</t>
  </si>
  <si>
    <t>Sales Commodity</t>
  </si>
  <si>
    <t>Federal Carbon Charge</t>
  </si>
  <si>
    <t>Cost Adjustment</t>
  </si>
  <si>
    <t>Gas Supply</t>
  </si>
  <si>
    <t>Delivery</t>
  </si>
  <si>
    <t>Total Sales with Cost Adjustments</t>
  </si>
  <si>
    <t>Average Rate</t>
  </si>
  <si>
    <t>System Expansion Surcharge (SES)</t>
  </si>
  <si>
    <t>Average Rate including SES</t>
  </si>
  <si>
    <t>Notes for Table 1:</t>
  </si>
  <si>
    <t>(1)  Sourced from EB-2023-0134, Exhibit A, Tab 3, Schedule 1, Page 1, EGD</t>
  </si>
  <si>
    <t>Oil Assumptions</t>
  </si>
  <si>
    <t>Home Heating Oil (HHO) (1)</t>
  </si>
  <si>
    <t>Month</t>
  </si>
  <si>
    <t xml:space="preserve">
Federal/Provincial Carbon Tax Charge
HHO (2)</t>
  </si>
  <si>
    <t>HHO
(v735163) (3)</t>
  </si>
  <si>
    <t>HHO 
(excl. GST/HST)</t>
  </si>
  <si>
    <t>HHO 
(excl. tax and C&amp;T)</t>
  </si>
  <si>
    <t>Total $/L</t>
  </si>
  <si>
    <t>all prices in cents/litre</t>
  </si>
  <si>
    <t>Sourced from https://www.canada.ca/en/revenue-agency/services/forms-publications/publications/fcrates/fuel-charge-rates.html#confacnatgas</t>
  </si>
  <si>
    <t>(3)</t>
  </si>
  <si>
    <t>Sourced from the Conference Board of Canada (CANSIM) - v735163</t>
  </si>
  <si>
    <t>Electricity Assumptions</t>
  </si>
  <si>
    <t>Ontario Energy Rebate (OER):</t>
  </si>
  <si>
    <t xml:space="preserve">Regulated Price Plan -TOU </t>
  </si>
  <si>
    <t>Hydro One Electricity Rates</t>
  </si>
  <si>
    <t>Time of Use</t>
  </si>
  <si>
    <t>Medium Density - R1 (1)</t>
  </si>
  <si>
    <t>Cents/kWh (2)</t>
  </si>
  <si>
    <t>% of Load (3)</t>
  </si>
  <si>
    <t>On Peak</t>
  </si>
  <si>
    <t>Mid Peak</t>
  </si>
  <si>
    <t>Rates Effective</t>
  </si>
  <si>
    <t>Off Peak</t>
  </si>
  <si>
    <t>Service Charge (2)</t>
  </si>
  <si>
    <t>$/month</t>
  </si>
  <si>
    <t>Total Load - cent/KWh</t>
  </si>
  <si>
    <t>Distribution Rate</t>
  </si>
  <si>
    <t>$/kWh</t>
  </si>
  <si>
    <t>Total Load - $/kWh</t>
  </si>
  <si>
    <t>Transmission</t>
  </si>
  <si>
    <t>Wholesale Market Service Rate + CBR</t>
  </si>
  <si>
    <t xml:space="preserve">Rural rate protection charge </t>
  </si>
  <si>
    <t>Adjustment Factor Charge</t>
  </si>
  <si>
    <t>(1) Sourced from OEB Newsroom - Friday Oct. 21, 2022</t>
  </si>
  <si>
    <t>Standard Supply Servise Charge</t>
  </si>
  <si>
    <t>(2) TOU rates effective from May 1, 2023 to October 31, 2023</t>
  </si>
  <si>
    <t>Fixed Charge Rate Riders</t>
  </si>
  <si>
    <t>(3) Sourced from OEB Regulated Price Plan Price Report - November 1, 2022 to October 31, 2023</t>
  </si>
  <si>
    <t>SME</t>
  </si>
  <si>
    <t>Total $/kWh</t>
  </si>
  <si>
    <t>Total $/kWh with OER</t>
  </si>
  <si>
    <t>Total $/kWh with OER, no distribution charge</t>
  </si>
  <si>
    <t>Notes for Table 2:</t>
  </si>
  <si>
    <t>(1) Sourced from EB-2021-0110 Hydro One Networks Inc. Tariff of Rates and Charges, Effective and Implementation Date January 1, 2023   Medium Density - R1</t>
  </si>
  <si>
    <t>(2) Excluded for cost comparison purposes</t>
  </si>
  <si>
    <t>Propane Assumptions</t>
  </si>
  <si>
    <t>Ending Value Apr. 28, 2023 (cents/L)</t>
  </si>
  <si>
    <t>Propane Prices for Residential Rate 1 Customer</t>
  </si>
  <si>
    <t>Date</t>
  </si>
  <si>
    <t>$/L</t>
  </si>
  <si>
    <t>Cents/L</t>
  </si>
  <si>
    <t>Daily Price Change (2)</t>
  </si>
  <si>
    <t>Carbon Tax (3)</t>
  </si>
  <si>
    <t>May Monthly Average</t>
  </si>
  <si>
    <t>Current Price:</t>
  </si>
  <si>
    <t>Carbon Tax:</t>
  </si>
  <si>
    <t>Total Cents/L</t>
  </si>
  <si>
    <t>Notes for Table 1</t>
  </si>
  <si>
    <t>(1) Date of the last recorded daily price change from the previous month</t>
  </si>
  <si>
    <t>(2) Source: https://edproenergy.com/residential/ ; Zone 5,  2,500-4,499 Litres</t>
  </si>
  <si>
    <t>(3) Source: https://www.canada.ca/en/revenue-agency/services/forms-publications/publications/fcrates/fuel-charge-rates.html</t>
  </si>
  <si>
    <t xml:space="preserve">Primary Fuel </t>
  </si>
  <si>
    <t>Penetration Rate</t>
  </si>
  <si>
    <t>Annual Bill ($)</t>
  </si>
  <si>
    <t>Annual Natural Gas Saving With SES ($)</t>
  </si>
  <si>
    <t xml:space="preserve">Natural Gas </t>
  </si>
  <si>
    <t>-</t>
  </si>
  <si>
    <t>Electricity (non-heat pump)</t>
  </si>
  <si>
    <t xml:space="preserve">Heating Oil </t>
  </si>
  <si>
    <t>Wood</t>
  </si>
  <si>
    <t>Heat Pumps</t>
  </si>
  <si>
    <t>Average Annual Natural Gas Savings (compared to alternative fuel sources)</t>
  </si>
  <si>
    <t>Not Applicable</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</si>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</sst>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409]mmmm\ d\,\ yyyy;@"/>
    <numFmt numFmtId="169" formatCode="0.0%"/>
    <numFmt numFmtId="170" formatCode="0.0000"/>
    <numFmt numFmtId="171" formatCode="d\-mmm\-yyyy"/>
    <numFmt numFmtId="172" formatCode="dd\-mmm\-yyyy"/>
    <numFmt numFmtId="173" formatCode="0.00000"/>
    <numFmt numFmtId="174" formatCode="#,##0.0000_);\(#,##0.0000\)"/>
    <numFmt numFmtId="175" formatCode="&quot;$&quot;#,##0.000&quot;/m³&quot;"/>
    <numFmt numFmtId="176" formatCode="&quot;$&quot;#,##0.000&quot;/L&quot;"/>
    <numFmt numFmtId="177" formatCode="&quot;$&quot;#,##0.000&quot;/kWh&quot;"/>
    <numFmt numFmtId="178" formatCode="&quot;$&quot;#,##0"/>
    <numFmt numFmtId="179" formatCode="&quot;$&quot;#,##0.000"/>
    <numFmt numFmtId="180" formatCode="#,##0.000_);\(#,##0.000\)"/>
    <numFmt numFmtId="181" formatCode="_(* #,##0.000_);_(* \(#,##0.000\);_(* &quot;-&quot;??_);_(@_)"/>
    <numFmt numFmtId="182" formatCode="_(&quot;$&quot;* #,##0_);_(&quot;$&quot;* \(#,##0\);_(&quot;$&quot;* &quot;-&quot;??_);_(@_)"/>
  </numFmts>
  <fonts count="32" x14ac:knownFonts="1">
    <font>
      <sz val="11"/>
      <color theme="1"/>
      <name val="Calibri"/>
      <family val="2"/>
      <scheme val="minor"/>
    </font>
    <font>
      <sz val="11"/>
      <color theme="1"/>
      <name val="Calibri"/>
      <family val="2"/>
      <scheme val="minor"/>
    </font>
    <font>
      <u/>
      <sz val="18"/>
      <color theme="1"/>
      <name val="Arial"/>
      <family val="2"/>
    </font>
    <font>
      <sz val="11"/>
      <color theme="1"/>
      <name val="Arial"/>
      <family val="2"/>
    </font>
    <font>
      <u/>
      <sz val="11"/>
      <color theme="1"/>
      <name val="Arial"/>
      <family val="2"/>
    </font>
    <font>
      <b/>
      <sz val="11"/>
      <color theme="1"/>
      <name val="Arial"/>
      <family val="2"/>
    </font>
    <font>
      <u/>
      <sz val="11"/>
      <color theme="10"/>
      <name val="Calibri"/>
      <family val="2"/>
      <scheme val="minor"/>
    </font>
    <font>
      <sz val="11"/>
      <color theme="10"/>
      <name val="Arial"/>
      <family val="2"/>
    </font>
    <font>
      <i/>
      <sz val="9"/>
      <color rgb="FF0000FF"/>
      <name val="Arial"/>
      <family val="2"/>
    </font>
    <font>
      <u/>
      <sz val="18"/>
      <name val="Arial"/>
      <family val="2"/>
    </font>
    <font>
      <u/>
      <sz val="11"/>
      <color theme="1"/>
      <name val="Calibri"/>
      <family val="2"/>
      <scheme val="minor"/>
    </font>
    <font>
      <b/>
      <sz val="11"/>
      <color rgb="FFFF0000"/>
      <name val="Arial"/>
      <family val="2"/>
    </font>
    <font>
      <sz val="11"/>
      <name val="Arial"/>
      <family val="2"/>
    </font>
    <font>
      <sz val="12"/>
      <color theme="1"/>
      <name val="Arial"/>
      <family val="2"/>
    </font>
    <font>
      <u/>
      <sz val="14"/>
      <color theme="1"/>
      <name val="Arial"/>
      <family val="2"/>
    </font>
    <font>
      <u/>
      <sz val="11"/>
      <color theme="10"/>
      <name val="Arial"/>
      <family val="2"/>
    </font>
    <font>
      <b/>
      <u/>
      <sz val="11"/>
      <color theme="1"/>
      <name val="Arial"/>
      <family val="2"/>
    </font>
    <font>
      <u/>
      <sz val="11"/>
      <name val="Arial"/>
      <family val="2"/>
    </font>
    <font>
      <vertAlign val="superscript"/>
      <sz val="11"/>
      <color theme="1"/>
      <name val="Arial"/>
      <family val="2"/>
    </font>
    <font>
      <sz val="10"/>
      <name val="Arial"/>
      <family val="2"/>
    </font>
    <font>
      <b/>
      <sz val="18"/>
      <color rgb="FFFFC000"/>
      <name val="Arial"/>
      <family val="2"/>
    </font>
    <font>
      <b/>
      <sz val="18"/>
      <color theme="4"/>
      <name val="Arial"/>
      <family val="2"/>
    </font>
    <font>
      <b/>
      <sz val="18"/>
      <color theme="1"/>
      <name val="Neue Haas Grotesk Text Pro"/>
      <family val="2"/>
    </font>
    <font>
      <b/>
      <sz val="11"/>
      <color theme="1" tint="0.249977111117893"/>
      <name val="Arial"/>
      <family val="2"/>
    </font>
    <font>
      <b/>
      <sz val="11"/>
      <name val="Arial"/>
      <family val="2"/>
    </font>
    <font>
      <u/>
      <sz val="12"/>
      <color theme="1"/>
      <name val="Arial"/>
      <family val="2"/>
    </font>
    <font>
      <u/>
      <sz val="12"/>
      <name val="Arial"/>
      <family val="2"/>
    </font>
    <font>
      <b/>
      <sz val="12"/>
      <name val="Arial"/>
      <family val="2"/>
    </font>
    <font>
      <sz val="12"/>
      <name val="Arial"/>
      <family val="2"/>
    </font>
    <font>
      <b/>
      <u/>
      <sz val="14"/>
      <color theme="1"/>
      <name val="Arial"/>
      <family val="2"/>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cellStyleXfs>
  <cellXfs count="225">
    <xf numFmtId="0" fontId="0" fillId="0" borderId="0" xfId="0"/>
    <xf numFmtId="0" fontId="2" fillId="0" borderId="0" xfId="0" applyFont="1"/>
    <xf numFmtId="0" fontId="3" fillId="0" borderId="0" xfId="0" applyFont="1"/>
    <xf numFmtId="0" fontId="3"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0" xfId="0" applyFont="1" applyAlignment="1">
      <alignment horizontal="center"/>
    </xf>
    <xf numFmtId="0" fontId="4" fillId="0" borderId="7" xfId="0" applyFont="1" applyBorder="1"/>
    <xf numFmtId="0" fontId="3" fillId="0" borderId="8" xfId="0" applyFont="1" applyBorder="1"/>
    <xf numFmtId="0" fontId="3" fillId="0" borderId="7" xfId="0" applyFont="1" applyBorder="1"/>
    <xf numFmtId="0" fontId="3" fillId="0" borderId="7" xfId="0" applyFont="1" applyBorder="1" applyAlignment="1">
      <alignment horizontal="left" indent="2"/>
    </xf>
    <xf numFmtId="9" fontId="3" fillId="0" borderId="8" xfId="3"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3" fillId="0" borderId="7" xfId="0" applyFont="1" applyBorder="1" applyAlignment="1">
      <alignment horizontal="right" indent="2"/>
    </xf>
    <xf numFmtId="9" fontId="3" fillId="0" borderId="0" xfId="3" applyFont="1" applyBorder="1" applyAlignment="1">
      <alignment horizontal="center"/>
    </xf>
    <xf numFmtId="0" fontId="3" fillId="0" borderId="7" xfId="0" applyFont="1" applyBorder="1" applyAlignment="1">
      <alignment horizontal="right"/>
    </xf>
    <xf numFmtId="9" fontId="3" fillId="0" borderId="9" xfId="0" applyNumberFormat="1" applyFont="1" applyBorder="1" applyAlignment="1">
      <alignment horizontal="center"/>
    </xf>
    <xf numFmtId="9" fontId="3" fillId="0" borderId="10" xfId="0" applyNumberFormat="1" applyFont="1" applyBorder="1" applyAlignment="1">
      <alignment horizontal="center"/>
    </xf>
    <xf numFmtId="0" fontId="3" fillId="0" borderId="11" xfId="0" applyFont="1" applyBorder="1"/>
    <xf numFmtId="0" fontId="3" fillId="0" borderId="12" xfId="0" applyFont="1" applyBorder="1"/>
    <xf numFmtId="9" fontId="3" fillId="0" borderId="13" xfId="3" applyFont="1" applyBorder="1" applyAlignment="1">
      <alignment horizontal="center"/>
    </xf>
    <xf numFmtId="9" fontId="3" fillId="0" borderId="12" xfId="3"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left"/>
    </xf>
    <xf numFmtId="0" fontId="3" fillId="0" borderId="6" xfId="0" applyFont="1" applyBorder="1" applyAlignment="1">
      <alignment horizontal="left" wrapText="1"/>
    </xf>
    <xf numFmtId="0" fontId="3" fillId="0" borderId="5" xfId="0" applyFont="1" applyBorder="1" applyAlignment="1">
      <alignment horizontal="left"/>
    </xf>
    <xf numFmtId="0" fontId="3" fillId="0" borderId="8" xfId="0" applyFont="1" applyBorder="1" applyAlignment="1">
      <alignment horizontal="left"/>
    </xf>
    <xf numFmtId="0" fontId="3" fillId="0" borderId="13" xfId="0" applyFont="1" applyBorder="1"/>
    <xf numFmtId="0" fontId="8" fillId="0" borderId="0" xfId="0" applyFont="1"/>
    <xf numFmtId="0" fontId="3" fillId="0" borderId="6" xfId="0" applyFont="1" applyBorder="1" applyAlignment="1">
      <alignment horizontal="center" wrapText="1"/>
    </xf>
    <xf numFmtId="0" fontId="3" fillId="0" borderId="0" xfId="0" applyFont="1" applyAlignment="1">
      <alignment horizontal="center"/>
    </xf>
    <xf numFmtId="0" fontId="8" fillId="0" borderId="13" xfId="0" applyFont="1" applyBorder="1"/>
    <xf numFmtId="0" fontId="8" fillId="0" borderId="12" xfId="0" applyFont="1" applyBorder="1"/>
    <xf numFmtId="0" fontId="7" fillId="0" borderId="0" xfId="4" applyFont="1" applyBorder="1"/>
    <xf numFmtId="0" fontId="3" fillId="0" borderId="4" xfId="0" applyFont="1" applyBorder="1"/>
    <xf numFmtId="15" fontId="3" fillId="0" borderId="7" xfId="0" applyNumberFormat="1" applyFont="1" applyBorder="1" applyAlignment="1">
      <alignment horizontal="left"/>
    </xf>
    <xf numFmtId="2" fontId="3" fillId="0" borderId="0" xfId="0" applyNumberFormat="1" applyFont="1" applyAlignment="1">
      <alignment horizontal="center"/>
    </xf>
    <xf numFmtId="2" fontId="3" fillId="0" borderId="8" xfId="0" applyNumberFormat="1" applyFont="1" applyBorder="1" applyAlignment="1">
      <alignment horizontal="center"/>
    </xf>
    <xf numFmtId="0" fontId="3" fillId="0" borderId="5" xfId="0" applyFont="1" applyBorder="1" applyAlignment="1">
      <alignment horizontal="center" wrapText="1"/>
    </xf>
    <xf numFmtId="0" fontId="3" fillId="0" borderId="13"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left"/>
    </xf>
    <xf numFmtId="0" fontId="3" fillId="0" borderId="4" xfId="0" applyFont="1" applyBorder="1" applyAlignment="1">
      <alignment horizontal="right"/>
    </xf>
    <xf numFmtId="37" fontId="3" fillId="0" borderId="0" xfId="1" applyNumberFormat="1" applyFont="1" applyFill="1" applyBorder="1" applyAlignment="1">
      <alignment horizontal="center"/>
    </xf>
    <xf numFmtId="37" fontId="3" fillId="0" borderId="8" xfId="1" applyNumberFormat="1" applyFont="1" applyFill="1" applyBorder="1" applyAlignment="1">
      <alignment horizontal="center"/>
    </xf>
    <xf numFmtId="0" fontId="9" fillId="0" borderId="0" xfId="0" applyFont="1"/>
    <xf numFmtId="0" fontId="10" fillId="0" borderId="0" xfId="0" applyFont="1"/>
    <xf numFmtId="0" fontId="3" fillId="0" borderId="7" xfId="0" applyFont="1" applyBorder="1" applyAlignment="1">
      <alignment horizontal="center"/>
    </xf>
    <xf numFmtId="3" fontId="3" fillId="0" borderId="8" xfId="0" applyNumberFormat="1" applyFont="1" applyBorder="1"/>
    <xf numFmtId="164" fontId="5" fillId="0" borderId="8" xfId="0" applyNumberFormat="1" applyFont="1" applyBorder="1" applyAlignment="1">
      <alignment horizontal="center" wrapText="1"/>
    </xf>
    <xf numFmtId="0" fontId="3" fillId="0" borderId="7" xfId="0" applyFont="1" applyBorder="1" applyAlignment="1">
      <alignment horizontal="left"/>
    </xf>
    <xf numFmtId="0" fontId="3" fillId="0" borderId="7" xfId="0" applyFont="1" applyBorder="1" applyAlignment="1">
      <alignment horizontal="left" indent="3"/>
    </xf>
    <xf numFmtId="165" fontId="11" fillId="0" borderId="12" xfId="2" applyNumberFormat="1" applyFont="1" applyFill="1" applyBorder="1"/>
    <xf numFmtId="39" fontId="3" fillId="0" borderId="8" xfId="0" applyNumberFormat="1" applyFont="1" applyBorder="1"/>
    <xf numFmtId="39" fontId="5" fillId="0" borderId="8" xfId="2" applyNumberFormat="1" applyFont="1" applyFill="1" applyBorder="1"/>
    <xf numFmtId="39" fontId="3" fillId="0" borderId="6" xfId="0" applyNumberFormat="1" applyFont="1" applyBorder="1"/>
    <xf numFmtId="39" fontId="3" fillId="0" borderId="8" xfId="2" applyNumberFormat="1" applyFont="1" applyFill="1" applyBorder="1"/>
    <xf numFmtId="2" fontId="3" fillId="0" borderId="0" xfId="0" applyNumberFormat="1" applyFont="1"/>
    <xf numFmtId="17" fontId="12" fillId="0" borderId="7" xfId="0" applyNumberFormat="1" applyFont="1" applyBorder="1" applyAlignment="1">
      <alignment horizontal="right"/>
    </xf>
    <xf numFmtId="2" fontId="12" fillId="0" borderId="0" xfId="0" applyNumberFormat="1" applyFont="1" applyAlignment="1">
      <alignment horizontal="center"/>
    </xf>
    <xf numFmtId="166" fontId="12" fillId="0" borderId="0" xfId="0" applyNumberFormat="1" applyFont="1" applyAlignment="1">
      <alignment horizontal="center" wrapText="1"/>
    </xf>
    <xf numFmtId="17" fontId="12" fillId="0" borderId="0" xfId="0" applyNumberFormat="1" applyFont="1" applyAlignment="1">
      <alignment horizontal="right" wrapText="1"/>
    </xf>
    <xf numFmtId="167" fontId="12" fillId="0" borderId="0" xfId="0" applyNumberFormat="1" applyFont="1" applyAlignment="1">
      <alignment horizontal="right"/>
    </xf>
    <xf numFmtId="17" fontId="12" fillId="0" borderId="11" xfId="0" applyNumberFormat="1" applyFont="1" applyBorder="1" applyAlignment="1">
      <alignment wrapText="1"/>
    </xf>
    <xf numFmtId="2" fontId="3" fillId="0" borderId="13" xfId="0" applyNumberFormat="1" applyFont="1" applyBorder="1"/>
    <xf numFmtId="168" fontId="2" fillId="0" borderId="0" xfId="0" applyNumberFormat="1" applyFont="1" applyAlignment="1">
      <alignment horizontal="left"/>
    </xf>
    <xf numFmtId="0" fontId="3" fillId="0" borderId="0" xfId="0" applyFont="1" applyAlignment="1">
      <alignment horizontal="right"/>
    </xf>
    <xf numFmtId="0" fontId="0" fillId="0" borderId="7" xfId="0" applyBorder="1"/>
    <xf numFmtId="0" fontId="0" fillId="0" borderId="8" xfId="0" applyBorder="1"/>
    <xf numFmtId="2" fontId="12" fillId="0" borderId="0" xfId="0" applyNumberFormat="1" applyFont="1"/>
    <xf numFmtId="0" fontId="4" fillId="0" borderId="0" xfId="0" applyFont="1"/>
    <xf numFmtId="0" fontId="3" fillId="0" borderId="0" xfId="0" quotePrefix="1" applyFont="1"/>
    <xf numFmtId="170" fontId="3" fillId="0" borderId="0" xfId="0" applyNumberFormat="1" applyFont="1" applyAlignment="1">
      <alignment horizontal="center"/>
    </xf>
    <xf numFmtId="0" fontId="0" fillId="0" borderId="11" xfId="0" applyBorder="1"/>
    <xf numFmtId="0" fontId="0" fillId="0" borderId="13" xfId="0" applyBorder="1"/>
    <xf numFmtId="0" fontId="0" fillId="0" borderId="12" xfId="0" applyBorder="1"/>
    <xf numFmtId="0" fontId="5" fillId="0" borderId="7" xfId="0" applyFont="1" applyBorder="1" applyAlignment="1">
      <alignment horizontal="right"/>
    </xf>
    <xf numFmtId="0" fontId="3" fillId="0" borderId="4" xfId="0" applyFont="1" applyBorder="1" applyAlignment="1">
      <alignment horizontal="left" indent="2"/>
    </xf>
    <xf numFmtId="0" fontId="12" fillId="0" borderId="6" xfId="0" applyFont="1" applyBorder="1" applyAlignment="1">
      <alignment horizontal="center"/>
    </xf>
    <xf numFmtId="0" fontId="3" fillId="0" borderId="7" xfId="0" applyFont="1" applyBorder="1" applyAlignment="1">
      <alignment horizontal="left" indent="5"/>
    </xf>
    <xf numFmtId="0" fontId="0" fillId="0" borderId="4" xfId="0" applyBorder="1"/>
    <xf numFmtId="0" fontId="0" fillId="0" borderId="6" xfId="0" applyBorder="1"/>
    <xf numFmtId="0" fontId="15" fillId="0" borderId="5" xfId="4" applyFont="1" applyBorder="1"/>
    <xf numFmtId="0" fontId="14" fillId="0" borderId="7" xfId="0" applyFont="1" applyBorder="1"/>
    <xf numFmtId="171" fontId="16" fillId="0" borderId="0" xfId="0" applyNumberFormat="1" applyFont="1" applyAlignment="1">
      <alignment horizontal="center"/>
    </xf>
    <xf numFmtId="0" fontId="12" fillId="0" borderId="0" xfId="0" applyFont="1" applyAlignment="1">
      <alignment horizontal="right"/>
    </xf>
    <xf numFmtId="170" fontId="12" fillId="0" borderId="0" xfId="0" applyNumberFormat="1" applyFont="1" applyAlignment="1">
      <alignment horizontal="right"/>
    </xf>
    <xf numFmtId="0" fontId="5" fillId="0" borderId="0" xfId="0" applyFont="1" applyAlignment="1">
      <alignment horizontal="right"/>
    </xf>
    <xf numFmtId="169" fontId="5" fillId="0" borderId="6" xfId="3" applyNumberFormat="1" applyFont="1" applyBorder="1" applyAlignment="1">
      <alignment horizontal="center"/>
    </xf>
    <xf numFmtId="0" fontId="4" fillId="0" borderId="0" xfId="0" applyFont="1" applyAlignment="1">
      <alignment horizontal="left"/>
    </xf>
    <xf numFmtId="0" fontId="5" fillId="0" borderId="0" xfId="0" applyFont="1"/>
    <xf numFmtId="0" fontId="5" fillId="0" borderId="6" xfId="0" applyFont="1" applyBorder="1" applyAlignment="1">
      <alignment horizontal="center"/>
    </xf>
    <xf numFmtId="0" fontId="5" fillId="0" borderId="8" xfId="0" applyFont="1" applyBorder="1"/>
    <xf numFmtId="39" fontId="0" fillId="0" borderId="0" xfId="0" applyNumberFormat="1"/>
    <xf numFmtId="39" fontId="3" fillId="0" borderId="0" xfId="0" applyNumberFormat="1" applyFont="1"/>
    <xf numFmtId="0" fontId="13" fillId="0" borderId="0" xfId="0" applyFont="1" applyAlignment="1">
      <alignment horizontal="left"/>
    </xf>
    <xf numFmtId="0" fontId="2" fillId="0" borderId="0" xfId="0" applyFont="1" applyAlignment="1">
      <alignment horizontal="center"/>
    </xf>
    <xf numFmtId="2" fontId="3" fillId="2" borderId="14" xfId="0" applyNumberFormat="1" applyFont="1" applyFill="1" applyBorder="1" applyAlignment="1">
      <alignment horizontal="center"/>
    </xf>
    <xf numFmtId="172" fontId="3" fillId="0" borderId="7" xfId="0" applyNumberFormat="1" applyFont="1" applyBorder="1" applyAlignment="1">
      <alignment horizontal="right"/>
    </xf>
    <xf numFmtId="174" fontId="3" fillId="0" borderId="0" xfId="0" applyNumberFormat="1" applyFont="1" applyAlignment="1">
      <alignment horizontal="center"/>
    </xf>
    <xf numFmtId="39" fontId="3" fillId="2" borderId="0" xfId="0" applyNumberFormat="1" applyFont="1" applyFill="1" applyAlignment="1">
      <alignment horizontal="center" wrapText="1"/>
    </xf>
    <xf numFmtId="39" fontId="3" fillId="0" borderId="0" xfId="0" applyNumberFormat="1" applyFont="1" applyAlignment="1">
      <alignment horizontal="center" wrapText="1"/>
    </xf>
    <xf numFmtId="174" fontId="3" fillId="0" borderId="0" xfId="0" applyNumberFormat="1" applyFont="1" applyAlignment="1">
      <alignment horizontal="center" wrapText="1"/>
    </xf>
    <xf numFmtId="174" fontId="3" fillId="0" borderId="8" xfId="0" applyNumberFormat="1" applyFont="1" applyBorder="1" applyAlignment="1">
      <alignment horizontal="center"/>
    </xf>
    <xf numFmtId="39" fontId="3" fillId="0" borderId="0" xfId="0" applyNumberFormat="1" applyFont="1" applyAlignment="1">
      <alignment horizontal="center"/>
    </xf>
    <xf numFmtId="172" fontId="12" fillId="0" borderId="7" xfId="0" applyNumberFormat="1" applyFont="1" applyBorder="1" applyAlignment="1">
      <alignment horizontal="right"/>
    </xf>
    <xf numFmtId="39" fontId="12" fillId="0" borderId="0" xfId="0" applyNumberFormat="1" applyFont="1" applyAlignment="1">
      <alignment horizontal="center"/>
    </xf>
    <xf numFmtId="172" fontId="12" fillId="0" borderId="11" xfId="0" applyNumberFormat="1" applyFont="1" applyBorder="1" applyAlignment="1">
      <alignment horizontal="right"/>
    </xf>
    <xf numFmtId="0" fontId="3" fillId="0" borderId="0" xfId="0" quotePrefix="1" applyFont="1" applyAlignment="1">
      <alignment horizontal="left" indent="1"/>
    </xf>
    <xf numFmtId="0" fontId="3" fillId="0" borderId="13" xfId="0" applyFont="1" applyBorder="1" applyAlignment="1">
      <alignment horizontal="left"/>
    </xf>
    <xf numFmtId="172" fontId="17" fillId="0" borderId="0" xfId="0" applyNumberFormat="1" applyFont="1" applyAlignment="1">
      <alignment horizontal="left"/>
    </xf>
    <xf numFmtId="2" fontId="3" fillId="0" borderId="0" xfId="0" applyNumberFormat="1" applyFont="1" applyAlignment="1">
      <alignment vertical="top" wrapText="1"/>
    </xf>
    <xf numFmtId="0" fontId="3" fillId="0" borderId="0" xfId="0" applyFont="1" applyAlignment="1">
      <alignment horizontal="right" vertical="top"/>
    </xf>
    <xf numFmtId="37" fontId="3" fillId="0" borderId="0" xfId="1" applyNumberFormat="1" applyFont="1" applyFill="1" applyBorder="1" applyAlignment="1">
      <alignment horizontal="center" vertical="center"/>
    </xf>
    <xf numFmtId="0" fontId="19" fillId="3" borderId="16" xfId="5" applyFill="1" applyBorder="1"/>
    <xf numFmtId="0" fontId="17" fillId="0" borderId="0" xfId="5" applyFont="1" applyAlignment="1">
      <alignment horizontal="left" vertical="center"/>
    </xf>
    <xf numFmtId="0" fontId="12" fillId="0" borderId="11" xfId="4" applyFont="1" applyBorder="1"/>
    <xf numFmtId="0" fontId="22" fillId="0" borderId="0" xfId="0" applyFont="1" applyAlignment="1">
      <alignment vertical="center" wrapText="1"/>
    </xf>
    <xf numFmtId="173" fontId="3" fillId="0" borderId="13" xfId="0" applyNumberFormat="1" applyFont="1" applyBorder="1" applyAlignment="1">
      <alignment horizontal="right"/>
    </xf>
    <xf numFmtId="167" fontId="3" fillId="0" borderId="0" xfId="0" applyNumberFormat="1" applyFont="1" applyAlignment="1">
      <alignment horizontal="right"/>
    </xf>
    <xf numFmtId="49" fontId="23" fillId="0" borderId="20" xfId="5" applyNumberFormat="1" applyFont="1" applyBorder="1" applyAlignment="1">
      <alignment horizontal="center" wrapText="1"/>
    </xf>
    <xf numFmtId="49" fontId="23" fillId="0" borderId="21" xfId="5" applyNumberFormat="1" applyFont="1" applyBorder="1" applyAlignment="1">
      <alignment horizontal="center" wrapText="1"/>
    </xf>
    <xf numFmtId="49" fontId="23" fillId="0" borderId="22" xfId="5" applyNumberFormat="1" applyFont="1" applyBorder="1" applyAlignment="1">
      <alignment horizontal="center" wrapText="1"/>
    </xf>
    <xf numFmtId="175" fontId="23" fillId="0" borderId="24" xfId="5" applyNumberFormat="1" applyFont="1" applyBorder="1" applyAlignment="1">
      <alignment horizontal="center" vertical="top" wrapText="1"/>
    </xf>
    <xf numFmtId="176" fontId="23" fillId="0" borderId="24" xfId="5" applyNumberFormat="1" applyFont="1" applyBorder="1" applyAlignment="1">
      <alignment horizontal="center" vertical="top" wrapText="1"/>
    </xf>
    <xf numFmtId="177" fontId="23" fillId="0" borderId="24" xfId="5" applyNumberFormat="1" applyFont="1" applyBorder="1" applyAlignment="1">
      <alignment horizontal="center" vertical="top" wrapText="1"/>
    </xf>
    <xf numFmtId="176" fontId="23" fillId="0" borderId="25" xfId="5" applyNumberFormat="1" applyFont="1" applyBorder="1" applyAlignment="1">
      <alignment horizontal="center" vertical="top" wrapText="1"/>
    </xf>
    <xf numFmtId="0" fontId="24" fillId="4" borderId="26" xfId="5" applyFont="1" applyFill="1" applyBorder="1" applyAlignment="1">
      <alignment horizontal="left" vertical="center"/>
    </xf>
    <xf numFmtId="3" fontId="24" fillId="4" borderId="27" xfId="6" applyNumberFormat="1" applyFont="1" applyFill="1" applyBorder="1" applyAlignment="1">
      <alignment horizontal="center" vertical="center"/>
    </xf>
    <xf numFmtId="3" fontId="24" fillId="4" borderId="28" xfId="6" applyNumberFormat="1" applyFont="1" applyFill="1" applyBorder="1" applyAlignment="1">
      <alignment horizontal="center" vertical="center"/>
    </xf>
    <xf numFmtId="0" fontId="24" fillId="0" borderId="29" xfId="5" applyFont="1" applyBorder="1" applyAlignment="1">
      <alignment horizontal="left" vertical="center"/>
    </xf>
    <xf numFmtId="178" fontId="24" fillId="0" borderId="14" xfId="5" applyNumberFormat="1" applyFont="1" applyBorder="1" applyAlignment="1">
      <alignment horizontal="center" vertical="center"/>
    </xf>
    <xf numFmtId="178" fontId="24" fillId="0" borderId="30" xfId="5" applyNumberFormat="1" applyFont="1" applyBorder="1" applyAlignment="1">
      <alignment horizontal="center" vertical="center"/>
    </xf>
    <xf numFmtId="178" fontId="24" fillId="0" borderId="9" xfId="5" applyNumberFormat="1" applyFont="1" applyBorder="1" applyAlignment="1">
      <alignment horizontal="center" vertical="center"/>
    </xf>
    <xf numFmtId="0" fontId="24" fillId="5" borderId="7" xfId="5" applyFont="1" applyFill="1" applyBorder="1" applyAlignment="1">
      <alignment horizontal="left" vertical="center"/>
    </xf>
    <xf numFmtId="178" fontId="24" fillId="0" borderId="8" xfId="5" applyNumberFormat="1" applyFont="1" applyBorder="1" applyAlignment="1">
      <alignment horizontal="center" vertical="center"/>
    </xf>
    <xf numFmtId="0" fontId="24" fillId="4" borderId="29" xfId="5" applyFont="1" applyFill="1" applyBorder="1" applyAlignment="1">
      <alignment horizontal="left" vertical="center"/>
    </xf>
    <xf numFmtId="179" fontId="24" fillId="4" borderId="14" xfId="5" applyNumberFormat="1" applyFont="1" applyFill="1" applyBorder="1" applyAlignment="1">
      <alignment horizontal="center" vertical="center"/>
    </xf>
    <xf numFmtId="179" fontId="24" fillId="4" borderId="31" xfId="5" applyNumberFormat="1" applyFont="1" applyFill="1" applyBorder="1" applyAlignment="1">
      <alignment horizontal="center" vertical="center"/>
    </xf>
    <xf numFmtId="0" fontId="24" fillId="5" borderId="33" xfId="5" applyFont="1" applyFill="1" applyBorder="1" applyAlignment="1">
      <alignment horizontal="left" vertical="center"/>
    </xf>
    <xf numFmtId="9" fontId="24" fillId="5" borderId="34" xfId="7" applyFont="1" applyFill="1" applyBorder="1" applyAlignment="1">
      <alignment horizontal="center" vertical="center"/>
    </xf>
    <xf numFmtId="9" fontId="24" fillId="0" borderId="35" xfId="7" applyFont="1" applyFill="1" applyBorder="1" applyAlignment="1">
      <alignment horizontal="center" vertical="center"/>
    </xf>
    <xf numFmtId="0" fontId="24" fillId="4" borderId="4" xfId="5" applyFont="1" applyFill="1" applyBorder="1" applyAlignment="1">
      <alignment horizontal="left" vertical="center"/>
    </xf>
    <xf numFmtId="0" fontId="24" fillId="4" borderId="27" xfId="5" applyFont="1" applyFill="1" applyBorder="1" applyAlignment="1">
      <alignment horizontal="center" vertical="center"/>
    </xf>
    <xf numFmtId="178" fontId="24" fillId="4" borderId="27" xfId="5" applyNumberFormat="1" applyFont="1" applyFill="1" applyBorder="1" applyAlignment="1">
      <alignment horizontal="center" vertical="center"/>
    </xf>
    <xf numFmtId="178" fontId="24" fillId="4" borderId="32" xfId="5" applyNumberFormat="1" applyFont="1" applyFill="1" applyBorder="1" applyAlignment="1">
      <alignment horizontal="center" vertical="center"/>
    </xf>
    <xf numFmtId="178" fontId="24" fillId="5" borderId="0" xfId="5" applyNumberFormat="1" applyFont="1" applyFill="1" applyAlignment="1">
      <alignment horizontal="center" vertical="center"/>
    </xf>
    <xf numFmtId="0" fontId="24" fillId="5" borderId="36" xfId="5" applyFont="1" applyFill="1" applyBorder="1" applyAlignment="1">
      <alignment horizontal="left" vertical="center"/>
    </xf>
    <xf numFmtId="0" fontId="24" fillId="5" borderId="37" xfId="5" applyFont="1" applyFill="1" applyBorder="1" applyAlignment="1">
      <alignment horizontal="center" vertical="center"/>
    </xf>
    <xf numFmtId="9" fontId="24" fillId="5" borderId="37" xfId="7" applyFont="1" applyFill="1" applyBorder="1" applyAlignment="1">
      <alignment horizontal="center" vertical="center"/>
    </xf>
    <xf numFmtId="9" fontId="24" fillId="5" borderId="38" xfId="7" applyFont="1" applyFill="1" applyBorder="1" applyAlignment="1">
      <alignment horizontal="center" vertical="center"/>
    </xf>
    <xf numFmtId="0" fontId="25" fillId="0" borderId="0" xfId="0" applyFont="1"/>
    <xf numFmtId="0" fontId="26" fillId="0" borderId="0" xfId="5" applyFont="1" applyAlignment="1">
      <alignment horizontal="left" vertical="center"/>
    </xf>
    <xf numFmtId="0" fontId="13" fillId="0" borderId="0" xfId="0" applyFont="1"/>
    <xf numFmtId="0" fontId="27" fillId="0" borderId="0" xfId="5" applyFont="1" applyAlignment="1">
      <alignment horizontal="center" vertical="center"/>
    </xf>
    <xf numFmtId="9" fontId="27" fillId="0" borderId="0" xfId="7" applyFont="1" applyFill="1" applyBorder="1" applyAlignment="1">
      <alignment horizontal="center" vertical="center"/>
    </xf>
    <xf numFmtId="0" fontId="13" fillId="0" borderId="0" xfId="0" quotePrefix="1" applyFont="1"/>
    <xf numFmtId="0" fontId="13" fillId="0" borderId="0" xfId="0" quotePrefix="1" applyFont="1" applyAlignment="1">
      <alignment horizontal="left" vertical="top" wrapText="1"/>
    </xf>
    <xf numFmtId="0" fontId="25" fillId="0" borderId="0" xfId="0" quotePrefix="1" applyFont="1" applyAlignment="1">
      <alignment vertical="top"/>
    </xf>
    <xf numFmtId="0" fontId="28" fillId="0" borderId="0" xfId="5" applyFont="1" applyAlignment="1">
      <alignment vertical="top" wrapText="1"/>
    </xf>
    <xf numFmtId="0" fontId="13" fillId="0" borderId="0" xfId="0" quotePrefix="1" applyFont="1" applyAlignment="1">
      <alignment horizontal="left" vertical="top" indent="1"/>
    </xf>
    <xf numFmtId="0" fontId="13" fillId="0" borderId="0" xfId="0" applyFont="1" applyAlignment="1">
      <alignment horizontal="left" vertical="top" indent="1"/>
    </xf>
    <xf numFmtId="0" fontId="0" fillId="0" borderId="0" xfId="0" applyAlignment="1">
      <alignment vertical="center"/>
    </xf>
    <xf numFmtId="0" fontId="3" fillId="0" borderId="0" xfId="0" quotePrefix="1" applyFont="1" applyAlignment="1">
      <alignment vertical="center"/>
    </xf>
    <xf numFmtId="0" fontId="29" fillId="0" borderId="0" xfId="0" applyFont="1"/>
    <xf numFmtId="0" fontId="14" fillId="0" borderId="0" xfId="0" applyFont="1"/>
    <xf numFmtId="0" fontId="29" fillId="0" borderId="0" xfId="0" applyFont="1" applyAlignment="1">
      <alignment horizontal="left"/>
    </xf>
    <xf numFmtId="0" fontId="13" fillId="0" borderId="0" xfId="0" quotePrefix="1" applyFont="1" applyAlignment="1">
      <alignment vertical="center"/>
    </xf>
    <xf numFmtId="0" fontId="13" fillId="0" borderId="0" xfId="0" applyFont="1" applyAlignment="1">
      <alignment vertical="center"/>
    </xf>
    <xf numFmtId="0" fontId="28" fillId="0" borderId="0" xfId="5" applyFont="1" applyAlignment="1">
      <alignment vertical="center" wrapText="1"/>
    </xf>
    <xf numFmtId="180" fontId="3" fillId="0" borderId="8" xfId="2" applyNumberFormat="1" applyFont="1" applyFill="1" applyBorder="1"/>
    <xf numFmtId="181" fontId="3" fillId="0" borderId="0" xfId="1" applyNumberFormat="1" applyFont="1" applyFill="1" applyBorder="1" applyAlignment="1">
      <alignment horizontal="center"/>
    </xf>
    <xf numFmtId="181" fontId="3" fillId="0" borderId="0" xfId="0" applyNumberFormat="1" applyFont="1" applyAlignment="1">
      <alignment horizontal="center"/>
    </xf>
    <xf numFmtId="9" fontId="3" fillId="0" borderId="0" xfId="3" applyNumberFormat="1" applyFont="1" applyBorder="1" applyAlignment="1">
      <alignment horizontal="center"/>
    </xf>
    <xf numFmtId="0" fontId="30" fillId="0" borderId="14" xfId="0" applyFont="1" applyBorder="1" applyAlignment="1">
      <alignment horizontal="center" wrapText="1"/>
    </xf>
    <xf numFmtId="0" fontId="0" fillId="0" borderId="14" xfId="0" applyBorder="1"/>
    <xf numFmtId="9" fontId="0" fillId="0" borderId="14" xfId="3" applyFont="1" applyFill="1" applyBorder="1" applyAlignment="1">
      <alignment horizontal="center"/>
    </xf>
    <xf numFmtId="182" fontId="0" fillId="0" borderId="14" xfId="2" applyNumberFormat="1" applyFont="1" applyFill="1" applyBorder="1"/>
    <xf numFmtId="182" fontId="0" fillId="0" borderId="14" xfId="3" applyNumberFormat="1" applyFont="1" applyFill="1" applyBorder="1" applyAlignment="1">
      <alignment horizontal="center"/>
    </xf>
    <xf numFmtId="0" fontId="0" fillId="0" borderId="14" xfId="0" applyBorder="1" applyAlignment="1">
      <alignment wrapText="1"/>
    </xf>
    <xf numFmtId="9" fontId="0" fillId="0" borderId="14" xfId="3" applyFont="1" applyFill="1" applyBorder="1"/>
    <xf numFmtId="9" fontId="0" fillId="0" borderId="0" xfId="3" applyFont="1" applyFill="1"/>
    <xf numFmtId="182" fontId="0" fillId="0" borderId="14" xfId="0" applyNumberFormat="1" applyBorder="1"/>
    <xf numFmtId="44" fontId="31" fillId="0" borderId="14" xfId="2" applyFont="1" applyFill="1" applyBorder="1" applyAlignment="1">
      <alignment horizontal="right" wrapText="1"/>
    </xf>
    <xf numFmtId="0" fontId="3" fillId="0" borderId="0" xfId="0" applyFont="1" applyAlignment="1">
      <alignment horizontal="left" vertical="top" wrapText="1"/>
    </xf>
    <xf numFmtId="0" fontId="22" fillId="0" borderId="0" xfId="0" applyFont="1" applyAlignment="1">
      <alignment horizontal="center" vertical="center" wrapText="1"/>
    </xf>
    <xf numFmtId="0" fontId="0" fillId="0" borderId="39" xfId="0" applyBorder="1" applyAlignment="1">
      <alignment horizontal="left" wrapText="1"/>
    </xf>
    <xf numFmtId="0" fontId="0" fillId="0" borderId="10" xfId="0" applyBorder="1" applyAlignment="1">
      <alignment horizontal="left" wrapText="1"/>
    </xf>
    <xf numFmtId="0" fontId="0" fillId="0" borderId="30" xfId="0" applyBorder="1" applyAlignment="1">
      <alignment horizontal="left" wrapText="1"/>
    </xf>
    <xf numFmtId="0" fontId="20" fillId="3" borderId="17" xfId="5" applyFont="1" applyFill="1" applyBorder="1" applyAlignment="1">
      <alignment horizontal="center" vertical="center" wrapText="1"/>
    </xf>
    <xf numFmtId="0" fontId="21" fillId="3" borderId="17" xfId="5" applyFont="1" applyFill="1" applyBorder="1" applyAlignment="1">
      <alignment horizontal="center" vertical="center" wrapText="1"/>
    </xf>
    <xf numFmtId="0" fontId="21" fillId="3" borderId="18" xfId="5" applyFont="1" applyFill="1" applyBorder="1" applyAlignment="1">
      <alignment horizontal="center" vertical="center" wrapText="1"/>
    </xf>
    <xf numFmtId="0" fontId="12" fillId="0" borderId="19" xfId="5" applyFont="1" applyBorder="1" applyAlignment="1">
      <alignment horizontal="center"/>
    </xf>
    <xf numFmtId="0" fontId="12" fillId="0" borderId="23" xfId="5" applyFont="1" applyBorder="1" applyAlignment="1">
      <alignment horizont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25" fillId="0" borderId="0" xfId="0" applyFont="1" applyAlignment="1">
      <alignment horizontal="left" vertical="center" wrapText="1"/>
    </xf>
    <xf numFmtId="0" fontId="13" fillId="0" borderId="0" xfId="0" quotePrefix="1" applyFont="1" applyAlignment="1">
      <alignment horizontal="left" vertical="center"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3" fillId="0" borderId="6"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xf>
    <xf numFmtId="0" fontId="3" fillId="0" borderId="15" xfId="0" applyFont="1" applyBorder="1" applyAlignment="1">
      <alignment horizontal="right"/>
    </xf>
    <xf numFmtId="2" fontId="3" fillId="0" borderId="0" xfId="0" applyNumberFormat="1" applyFont="1" applyAlignment="1">
      <alignment horizontal="left" vertical="top"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Comparison'!$E$6</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Electricity</c:v>
                </c:pt>
                <c:pt idx="3">
                  <c:v>Propane</c:v>
                </c:pt>
              </c:strCache>
            </c:strRef>
          </c:cat>
          <c:val>
            <c:numRef>
              <c:f>'Price Comparison'!$E$9</c:f>
              <c:numCache>
                <c:formatCode>"$"#,##0</c:formatCode>
                <c:ptCount val="1"/>
                <c:pt idx="0">
                  <c:v>1852.08</c:v>
                </c:pt>
              </c:numCache>
            </c:numRef>
          </c:val>
          <c:extLst>
            <c:ext xmlns:c16="http://schemas.microsoft.com/office/drawing/2014/chart" uri="{C3380CC4-5D6E-409C-BE32-E72D297353CC}">
              <c16:uniqueId val="{00000000-7AB1-447D-8547-6A6B069990F1}"/>
            </c:ext>
          </c:extLst>
        </c:ser>
        <c:ser>
          <c:idx val="1"/>
          <c:order val="1"/>
          <c:tx>
            <c:strRef>
              <c:f>'Price Comparison'!$F$6</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Electricity</c:v>
                </c:pt>
                <c:pt idx="3">
                  <c:v>Propane</c:v>
                </c:pt>
              </c:strCache>
            </c:strRef>
          </c:cat>
          <c:val>
            <c:numRef>
              <c:f>'Price Comparison'!$F$9</c:f>
              <c:numCache>
                <c:formatCode>"$"#,##0</c:formatCode>
                <c:ptCount val="1"/>
                <c:pt idx="0">
                  <c:v>4371.8710355274852</c:v>
                </c:pt>
              </c:numCache>
            </c:numRef>
          </c:val>
          <c:extLst>
            <c:ext xmlns:c16="http://schemas.microsoft.com/office/drawing/2014/chart" uri="{C3380CC4-5D6E-409C-BE32-E72D297353CC}">
              <c16:uniqueId val="{00000001-7AB1-447D-8547-6A6B069990F1}"/>
            </c:ext>
          </c:extLst>
        </c:ser>
        <c:ser>
          <c:idx val="2"/>
          <c:order val="2"/>
          <c:tx>
            <c:strRef>
              <c:f>'Price Comparison'!$G$6</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Electricity</c:v>
                </c:pt>
                <c:pt idx="3">
                  <c:v>Propane</c:v>
                </c:pt>
              </c:strCache>
            </c:strRef>
          </c:cat>
          <c:val>
            <c:numRef>
              <c:f>'Price Comparison'!$G$9</c:f>
              <c:numCache>
                <c:formatCode>"$"#,##0</c:formatCode>
                <c:ptCount val="1"/>
                <c:pt idx="0">
                  <c:v>2444.791406100102</c:v>
                </c:pt>
              </c:numCache>
            </c:numRef>
          </c:val>
          <c:extLst>
            <c:ext xmlns:c16="http://schemas.microsoft.com/office/drawing/2014/chart" uri="{C3380CC4-5D6E-409C-BE32-E72D297353CC}">
              <c16:uniqueId val="{00000002-7AB1-447D-8547-6A6B069990F1}"/>
            </c:ext>
          </c:extLst>
        </c:ser>
        <c:ser>
          <c:idx val="3"/>
          <c:order val="3"/>
          <c:tx>
            <c:strRef>
              <c:f>'Price Comparison'!$H$6</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Comparison'!$E$6:$H$6</c:f>
              <c:strCache>
                <c:ptCount val="4"/>
                <c:pt idx="0">
                  <c:v>Natural Gas</c:v>
                </c:pt>
                <c:pt idx="1">
                  <c:v>Heating Oil</c:v>
                </c:pt>
                <c:pt idx="2">
                  <c:v>Electricity</c:v>
                </c:pt>
                <c:pt idx="3">
                  <c:v>Propane</c:v>
                </c:pt>
              </c:strCache>
            </c:strRef>
          </c:cat>
          <c:val>
            <c:numRef>
              <c:f>'Price Comparison'!$H$9</c:f>
              <c:numCache>
                <c:formatCode>"$"#,##0</c:formatCode>
                <c:ptCount val="1"/>
                <c:pt idx="0">
                  <c:v>2726.6327346201783</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 Id="rId6" Type="http://schemas.microsoft.com/office/2007/relationships/hdphoto" Target="../media/hdphoto2.wdp"/><Relationship Id="rId5" Type="http://schemas.openxmlformats.org/officeDocument/2006/relationships/image" Target="../media/image3.png"/><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20779</xdr:colOff>
      <xdr:row>5</xdr:row>
      <xdr:rowOff>176647</xdr:rowOff>
    </xdr:from>
    <xdr:to>
      <xdr:col>12</xdr:col>
      <xdr:colOff>623454</xdr:colOff>
      <xdr:row>32</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1</xdr:row>
      <xdr:rowOff>0</xdr:rowOff>
    </xdr:from>
    <xdr:to>
      <xdr:col>12</xdr:col>
      <xdr:colOff>538156</xdr:colOff>
      <xdr:row>4</xdr:row>
      <xdr:rowOff>20782</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xdr:from>
      <xdr:col>5</xdr:col>
      <xdr:colOff>322118</xdr:colOff>
      <xdr:row>12</xdr:row>
      <xdr:rowOff>72737</xdr:rowOff>
    </xdr:from>
    <xdr:to>
      <xdr:col>7</xdr:col>
      <xdr:colOff>374072</xdr:colOff>
      <xdr:row>33</xdr:row>
      <xdr:rowOff>135083</xdr:rowOff>
    </xdr:to>
    <xdr:grpSp>
      <xdr:nvGrpSpPr>
        <xdr:cNvPr id="15" name="Group 14">
          <a:extLst>
            <a:ext uri="{FF2B5EF4-FFF2-40B4-BE49-F238E27FC236}">
              <a16:creationId xmlns:a16="http://schemas.microsoft.com/office/drawing/2014/main" id="{D397E445-1571-89A5-FEFD-1E7C28CDFB79}"/>
            </a:ext>
          </a:extLst>
        </xdr:cNvPr>
        <xdr:cNvGrpSpPr/>
      </xdr:nvGrpSpPr>
      <xdr:grpSpPr>
        <a:xfrm>
          <a:off x="3358212" y="2358737"/>
          <a:ext cx="1266391" cy="4062846"/>
          <a:chOff x="0" y="0"/>
          <a:chExt cx="923935" cy="3172493"/>
        </a:xfrm>
      </xdr:grpSpPr>
      <xdr:sp macro="" textlink="">
        <xdr:nvSpPr>
          <xdr:cNvPr id="16" name="TextBox 1">
            <a:extLst>
              <a:ext uri="{FF2B5EF4-FFF2-40B4-BE49-F238E27FC236}">
                <a16:creationId xmlns:a16="http://schemas.microsoft.com/office/drawing/2014/main" id="{B9AC00F8-9E48-9F8B-8674-1E562E409EF8}"/>
              </a:ext>
            </a:extLst>
          </xdr:cNvPr>
          <xdr:cNvSpPr txBox="1"/>
        </xdr:nvSpPr>
        <xdr:spPr>
          <a:xfrm>
            <a:off x="0" y="2809564"/>
            <a:ext cx="923935" cy="3629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Heating Oil  2,678 L</a:t>
            </a:r>
          </a:p>
        </xdr:txBody>
      </xdr:sp>
      <xdr:sp macro="" textlink="">
        <xdr:nvSpPr>
          <xdr:cNvPr id="17" name="TextBox 5">
            <a:extLst>
              <a:ext uri="{FF2B5EF4-FFF2-40B4-BE49-F238E27FC236}">
                <a16:creationId xmlns:a16="http://schemas.microsoft.com/office/drawing/2014/main" id="{2E274547-C834-30E6-D0DF-67418350BB69}"/>
              </a:ext>
            </a:extLst>
          </xdr:cNvPr>
          <xdr:cNvSpPr txBox="1"/>
        </xdr:nvSpPr>
        <xdr:spPr>
          <a:xfrm>
            <a:off x="49837" y="0"/>
            <a:ext cx="824261" cy="1205217"/>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2000" b="1" i="0" u="none" strike="noStrike">
                <a:solidFill>
                  <a:schemeClr val="bg1"/>
                </a:solidFill>
                <a:latin typeface="Calibri" panose="020F0502020204030204" pitchFamily="34" charset="0"/>
                <a:cs typeface="Calibri" panose="020F0502020204030204" pitchFamily="34" charset="0"/>
              </a:rPr>
              <a:t>58% Savings</a:t>
            </a:r>
            <a:endParaRPr lang="en-US" sz="2000" b="1">
              <a:solidFill>
                <a:schemeClr val="bg1"/>
              </a:solidFill>
              <a:latin typeface="Calibri" panose="020F0502020204030204" pitchFamily="34" charset="0"/>
              <a:cs typeface="Calibri" panose="020F0502020204030204" pitchFamily="34" charset="0"/>
            </a:endParaRPr>
          </a:p>
        </xdr:txBody>
      </xdr:sp>
      <xdr:pic>
        <xdr:nvPicPr>
          <xdr:cNvPr id="18" name="Picture 17">
            <a:extLst>
              <a:ext uri="{FF2B5EF4-FFF2-40B4-BE49-F238E27FC236}">
                <a16:creationId xmlns:a16="http://schemas.microsoft.com/office/drawing/2014/main" id="{8886381A-A3F7-FBA1-2048-93C3D2D9364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88675" y="2278645"/>
            <a:ext cx="346584" cy="452280"/>
          </a:xfrm>
          <a:prstGeom prst="rect">
            <a:avLst/>
          </a:prstGeom>
        </xdr:spPr>
      </xdr:pic>
    </xdr:grpSp>
    <xdr:clientData/>
  </xdr:twoCellAnchor>
  <xdr:twoCellAnchor>
    <xdr:from>
      <xdr:col>7</xdr:col>
      <xdr:colOff>654628</xdr:colOff>
      <xdr:row>22</xdr:row>
      <xdr:rowOff>166257</xdr:rowOff>
    </xdr:from>
    <xdr:to>
      <xdr:col>10</xdr:col>
      <xdr:colOff>31175</xdr:colOff>
      <xdr:row>34</xdr:row>
      <xdr:rowOff>0</xdr:rowOff>
    </xdr:to>
    <xdr:grpSp>
      <xdr:nvGrpSpPr>
        <xdr:cNvPr id="19" name="Group 18">
          <a:extLst>
            <a:ext uri="{FF2B5EF4-FFF2-40B4-BE49-F238E27FC236}">
              <a16:creationId xmlns:a16="http://schemas.microsoft.com/office/drawing/2014/main" id="{D98F3EF5-508B-27FD-2814-1710B9FB4550}"/>
            </a:ext>
          </a:extLst>
        </xdr:cNvPr>
        <xdr:cNvGrpSpPr/>
      </xdr:nvGrpSpPr>
      <xdr:grpSpPr>
        <a:xfrm>
          <a:off x="4857534" y="4357257"/>
          <a:ext cx="1245829" cy="2119743"/>
          <a:chOff x="0" y="0"/>
          <a:chExt cx="1420340" cy="2772543"/>
        </a:xfrm>
      </xdr:grpSpPr>
      <xdr:sp macro="" textlink="">
        <xdr:nvSpPr>
          <xdr:cNvPr id="20" name="TextBox 1">
            <a:extLst>
              <a:ext uri="{FF2B5EF4-FFF2-40B4-BE49-F238E27FC236}">
                <a16:creationId xmlns:a16="http://schemas.microsoft.com/office/drawing/2014/main" id="{DAAFE764-755A-9885-8B8D-E64C23F5B779}"/>
              </a:ext>
            </a:extLst>
          </xdr:cNvPr>
          <xdr:cNvSpPr txBox="1"/>
        </xdr:nvSpPr>
        <xdr:spPr>
          <a:xfrm>
            <a:off x="0" y="2070983"/>
            <a:ext cx="1420340" cy="7015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Electricity  21,448 kWh</a:t>
            </a:r>
          </a:p>
        </xdr:txBody>
      </xdr:sp>
      <xdr:pic>
        <xdr:nvPicPr>
          <xdr:cNvPr id="21" name="Picture 20">
            <a:extLst>
              <a:ext uri="{FF2B5EF4-FFF2-40B4-BE49-F238E27FC236}">
                <a16:creationId xmlns:a16="http://schemas.microsoft.com/office/drawing/2014/main" id="{FDF9BA15-1AA6-CC91-CABF-9EFFB961308B}"/>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64037" y="1185356"/>
            <a:ext cx="892267" cy="760670"/>
          </a:xfrm>
          <a:prstGeom prst="rect">
            <a:avLst/>
          </a:prstGeom>
          <a:ln>
            <a:noFill/>
          </a:ln>
        </xdr:spPr>
      </xdr:pic>
      <xdr:sp macro="" textlink="">
        <xdr:nvSpPr>
          <xdr:cNvPr id="22" name="TextBox 1">
            <a:extLst>
              <a:ext uri="{FF2B5EF4-FFF2-40B4-BE49-F238E27FC236}">
                <a16:creationId xmlns:a16="http://schemas.microsoft.com/office/drawing/2014/main" id="{E0FDA24B-8685-30E1-33EE-5630D0FFAC8C}"/>
              </a:ext>
            </a:extLst>
          </xdr:cNvPr>
          <xdr:cNvSpPr txBox="1"/>
        </xdr:nvSpPr>
        <xdr:spPr>
          <a:xfrm>
            <a:off x="64524" y="0"/>
            <a:ext cx="1219179" cy="139210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24% Savings</a:t>
            </a:r>
          </a:p>
        </xdr:txBody>
      </xdr:sp>
    </xdr:grpSp>
    <xdr:clientData/>
  </xdr:twoCellAnchor>
  <xdr:twoCellAnchor>
    <xdr:from>
      <xdr:col>10</xdr:col>
      <xdr:colOff>301338</xdr:colOff>
      <xdr:row>20</xdr:row>
      <xdr:rowOff>93516</xdr:rowOff>
    </xdr:from>
    <xdr:to>
      <xdr:col>12</xdr:col>
      <xdr:colOff>187036</xdr:colOff>
      <xdr:row>34</xdr:row>
      <xdr:rowOff>83127</xdr:rowOff>
    </xdr:to>
    <xdr:grpSp>
      <xdr:nvGrpSpPr>
        <xdr:cNvPr id="24" name="Group 23">
          <a:extLst>
            <a:ext uri="{FF2B5EF4-FFF2-40B4-BE49-F238E27FC236}">
              <a16:creationId xmlns:a16="http://schemas.microsoft.com/office/drawing/2014/main" id="{5043E4F3-5606-8B1E-F247-CE8B0D1082A0}"/>
            </a:ext>
          </a:extLst>
        </xdr:cNvPr>
        <xdr:cNvGrpSpPr/>
      </xdr:nvGrpSpPr>
      <xdr:grpSpPr>
        <a:xfrm>
          <a:off x="6373526" y="3903516"/>
          <a:ext cx="1100135" cy="2656611"/>
          <a:chOff x="0" y="0"/>
          <a:chExt cx="1289430" cy="3218148"/>
        </a:xfrm>
      </xdr:grpSpPr>
      <xdr:sp macro="" textlink="">
        <xdr:nvSpPr>
          <xdr:cNvPr id="25" name="TextBox 1">
            <a:extLst>
              <a:ext uri="{FF2B5EF4-FFF2-40B4-BE49-F238E27FC236}">
                <a16:creationId xmlns:a16="http://schemas.microsoft.com/office/drawing/2014/main" id="{DFDF7903-F649-FD62-39AE-EC8E4DF478B3}"/>
              </a:ext>
            </a:extLst>
          </xdr:cNvPr>
          <xdr:cNvSpPr txBox="1"/>
        </xdr:nvSpPr>
        <xdr:spPr>
          <a:xfrm>
            <a:off x="0" y="0"/>
            <a:ext cx="1289430" cy="1290321"/>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32% Savings</a:t>
            </a:r>
          </a:p>
        </xdr:txBody>
      </xdr:sp>
      <xdr:grpSp>
        <xdr:nvGrpSpPr>
          <xdr:cNvPr id="26" name="Group 25">
            <a:extLst>
              <a:ext uri="{FF2B5EF4-FFF2-40B4-BE49-F238E27FC236}">
                <a16:creationId xmlns:a16="http://schemas.microsoft.com/office/drawing/2014/main" id="{31DE3BED-32F7-F441-D15B-2B5EADAEC12A}"/>
              </a:ext>
            </a:extLst>
          </xdr:cNvPr>
          <xdr:cNvGrpSpPr/>
        </xdr:nvGrpSpPr>
        <xdr:grpSpPr>
          <a:xfrm>
            <a:off x="3019" y="1574840"/>
            <a:ext cx="1251651" cy="1643308"/>
            <a:chOff x="3019" y="1574840"/>
            <a:chExt cx="835658" cy="1034128"/>
          </a:xfrm>
        </xdr:grpSpPr>
        <xdr:sp macro="" textlink="">
          <xdr:nvSpPr>
            <xdr:cNvPr id="27" name="TextBox 1">
              <a:extLst>
                <a:ext uri="{FF2B5EF4-FFF2-40B4-BE49-F238E27FC236}">
                  <a16:creationId xmlns:a16="http://schemas.microsoft.com/office/drawing/2014/main" id="{AB39B69E-EA65-43FF-F497-CEC0CC1721A2}"/>
                </a:ext>
              </a:extLst>
            </xdr:cNvPr>
            <xdr:cNvSpPr txBox="1"/>
          </xdr:nvSpPr>
          <xdr:spPr>
            <a:xfrm>
              <a:off x="3019" y="2141551"/>
              <a:ext cx="835658" cy="4674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Propane  3,788 L</a:t>
              </a:r>
            </a:p>
          </xdr:txBody>
        </xdr:sp>
        <xdr:pic>
          <xdr:nvPicPr>
            <xdr:cNvPr id="28" name="Picture 27">
              <a:extLst>
                <a:ext uri="{FF2B5EF4-FFF2-40B4-BE49-F238E27FC236}">
                  <a16:creationId xmlns:a16="http://schemas.microsoft.com/office/drawing/2014/main" id="{09541CF0-A2A4-32CA-BBE6-E027282BE3E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9000"/>
                      </a14:imgEffect>
                    </a14:imgLayer>
                  </a14:imgProps>
                </a:ext>
                <a:ext uri="{28A0092B-C50C-407E-A947-70E740481C1C}">
                  <a14:useLocalDpi xmlns:a14="http://schemas.microsoft.com/office/drawing/2010/main" val="0"/>
                </a:ext>
              </a:extLst>
            </a:blip>
            <a:stretch>
              <a:fillRect/>
            </a:stretch>
          </xdr:blipFill>
          <xdr:spPr>
            <a:xfrm>
              <a:off x="223190" y="1574840"/>
              <a:ext cx="395310" cy="488073"/>
            </a:xfrm>
            <a:prstGeom prst="rect">
              <a:avLst/>
            </a:prstGeom>
            <a:ln>
              <a:noFill/>
            </a:ln>
          </xdr:spPr>
        </xdr:pic>
      </xdr:grpSp>
    </xdr:grpSp>
    <xdr:clientData/>
  </xdr:twoCellAnchor>
  <xdr:twoCellAnchor editAs="oneCell">
    <xdr:from>
      <xdr:col>3</xdr:col>
      <xdr:colOff>93518</xdr:colOff>
      <xdr:row>27</xdr:row>
      <xdr:rowOff>41565</xdr:rowOff>
    </xdr:from>
    <xdr:to>
      <xdr:col>5</xdr:col>
      <xdr:colOff>238990</xdr:colOff>
      <xdr:row>34</xdr:row>
      <xdr:rowOff>149727</xdr:rowOff>
    </xdr:to>
    <xdr:pic>
      <xdr:nvPicPr>
        <xdr:cNvPr id="8" name="Picture 7">
          <a:extLst>
            <a:ext uri="{FF2B5EF4-FFF2-40B4-BE49-F238E27FC236}">
              <a16:creationId xmlns:a16="http://schemas.microsoft.com/office/drawing/2014/main" id="{5BF2ADD2-DBAA-C5F9-828C-164BB1DE0DA4}"/>
            </a:ext>
          </a:extLst>
        </xdr:cNvPr>
        <xdr:cNvPicPr>
          <a:picLocks noChangeAspect="1"/>
        </xdr:cNvPicPr>
      </xdr:nvPicPr>
      <xdr:blipFill>
        <a:blip xmlns:r="http://schemas.openxmlformats.org/officeDocument/2006/relationships" r:embed="rId9"/>
        <a:stretch>
          <a:fillRect/>
        </a:stretch>
      </xdr:blipFill>
      <xdr:spPr>
        <a:xfrm>
          <a:off x="2088573" y="5091546"/>
          <a:ext cx="1475508" cy="141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175262</xdr:colOff>
      <xdr:row>4</xdr:row>
      <xdr:rowOff>74987</xdr:rowOff>
    </xdr:from>
    <xdr:to>
      <xdr:col>3</xdr:col>
      <xdr:colOff>1724891</xdr:colOff>
      <xdr:row>4</xdr:row>
      <xdr:rowOff>617066</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026" y="563360"/>
          <a:ext cx="1549629" cy="5420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iranda Pilon" id="{57C3277C-EB58-44A9-87AE-92CBF82C7ECD}" userId="S::pilonm@enbridge.com::399b7904-3cde-49a8-9226-0c68ede1ef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29T18:14:38.07" personId="{57C3277C-EB58-44A9-87AE-92CBF82C7ECD}" id="{09817268-DCD4-42E7-883C-1CF242E84FAF}">
    <text>% comes from Market Research</text>
  </threadedComment>
  <threadedComment ref="C1" dT="2022-03-29T18:14:55.75" personId="{57C3277C-EB58-44A9-87AE-92CBF82C7ECD}" id="{A0B0E7DD-F89E-4F68-9B3A-88FD50A73C6A}">
    <text>Rate Zone 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pps.cer-rec.gc.ca/Conversion/conversion-tables.aspx?GoCTemplateCulture=en-CA" TargetMode="External"/><Relationship Id="rId1" Type="http://schemas.openxmlformats.org/officeDocument/2006/relationships/hyperlink" Target="https://apps.cer-rec.gc.ca/Conversion/conversion-tables.aspx?GoCTemplateCulture=en-CA" TargetMode="External"/><Relationship Id="rId4"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sheetPr>
    <pageSetUpPr fitToPage="1"/>
  </sheetPr>
  <dimension ref="B2:M45"/>
  <sheetViews>
    <sheetView showGridLines="0" tabSelected="1" view="pageBreakPreview" topLeftCell="A11" zoomScale="80" zoomScaleNormal="70" zoomScaleSheetLayoutView="80" workbookViewId="0">
      <selection activeCell="J57" sqref="J57"/>
    </sheetView>
  </sheetViews>
  <sheetFormatPr defaultRowHeight="15" x14ac:dyDescent="0.25"/>
  <sheetData>
    <row r="2" spans="2:9" ht="15" customHeight="1" x14ac:dyDescent="0.25">
      <c r="B2" s="188" t="s">
        <v>0</v>
      </c>
      <c r="C2" s="188"/>
      <c r="D2" s="188"/>
      <c r="E2" s="188"/>
      <c r="F2" s="188"/>
      <c r="G2" s="188"/>
      <c r="H2" s="188"/>
      <c r="I2" s="120"/>
    </row>
    <row r="3" spans="2:9" ht="15" customHeight="1" x14ac:dyDescent="0.25">
      <c r="B3" s="188"/>
      <c r="C3" s="188"/>
      <c r="D3" s="188"/>
      <c r="E3" s="188"/>
      <c r="F3" s="188"/>
      <c r="G3" s="188"/>
      <c r="H3" s="188"/>
      <c r="I3" s="120"/>
    </row>
    <row r="4" spans="2:9" ht="15" customHeight="1" x14ac:dyDescent="0.25">
      <c r="B4" s="188"/>
      <c r="C4" s="188"/>
      <c r="D4" s="188"/>
      <c r="E4" s="188"/>
      <c r="F4" s="188"/>
      <c r="G4" s="188"/>
      <c r="H4" s="188"/>
      <c r="I4" s="120"/>
    </row>
    <row r="5" spans="2:9" ht="15" customHeight="1" x14ac:dyDescent="0.25">
      <c r="D5" s="120"/>
      <c r="E5" s="120"/>
      <c r="F5" s="120"/>
      <c r="G5" s="120"/>
      <c r="H5" s="120"/>
      <c r="I5" s="120"/>
    </row>
    <row r="6" spans="2:9" ht="15" customHeight="1" x14ac:dyDescent="0.25">
      <c r="D6" s="120"/>
      <c r="E6" s="120"/>
      <c r="F6" s="120"/>
      <c r="G6" s="120"/>
      <c r="H6" s="120"/>
      <c r="I6" s="120"/>
    </row>
    <row r="37" spans="2:13" x14ac:dyDescent="0.25">
      <c r="B37" s="187" t="s">
        <v>1</v>
      </c>
      <c r="C37" s="187"/>
      <c r="D37" s="187"/>
      <c r="E37" s="187"/>
      <c r="F37" s="187"/>
      <c r="G37" s="187"/>
      <c r="H37" s="187"/>
      <c r="I37" s="187"/>
      <c r="J37" s="187"/>
      <c r="K37" s="187"/>
      <c r="L37" s="187"/>
      <c r="M37" s="187"/>
    </row>
    <row r="38" spans="2:13" x14ac:dyDescent="0.25">
      <c r="B38" s="187"/>
      <c r="C38" s="187"/>
      <c r="D38" s="187"/>
      <c r="E38" s="187"/>
      <c r="F38" s="187"/>
      <c r="G38" s="187"/>
      <c r="H38" s="187"/>
      <c r="I38" s="187"/>
      <c r="J38" s="187"/>
      <c r="K38" s="187"/>
      <c r="L38" s="187"/>
      <c r="M38" s="187"/>
    </row>
    <row r="39" spans="2:13" x14ac:dyDescent="0.25">
      <c r="B39" s="187"/>
      <c r="C39" s="187"/>
      <c r="D39" s="187"/>
      <c r="E39" s="187"/>
      <c r="F39" s="187"/>
      <c r="G39" s="187"/>
      <c r="H39" s="187"/>
      <c r="I39" s="187"/>
      <c r="J39" s="187"/>
      <c r="K39" s="187"/>
      <c r="L39" s="187"/>
      <c r="M39" s="187"/>
    </row>
    <row r="40" spans="2:13" x14ac:dyDescent="0.25">
      <c r="B40" s="187"/>
      <c r="C40" s="187"/>
      <c r="D40" s="187"/>
      <c r="E40" s="187"/>
      <c r="F40" s="187"/>
      <c r="G40" s="187"/>
      <c r="H40" s="187"/>
      <c r="I40" s="187"/>
      <c r="J40" s="187"/>
      <c r="K40" s="187"/>
      <c r="L40" s="187"/>
      <c r="M40" s="187"/>
    </row>
    <row r="41" spans="2:13" x14ac:dyDescent="0.25">
      <c r="B41" s="187"/>
      <c r="C41" s="187"/>
      <c r="D41" s="187"/>
      <c r="E41" s="187"/>
      <c r="F41" s="187"/>
      <c r="G41" s="187"/>
      <c r="H41" s="187"/>
      <c r="I41" s="187"/>
      <c r="J41" s="187"/>
      <c r="K41" s="187"/>
      <c r="L41" s="187"/>
      <c r="M41" s="187"/>
    </row>
    <row r="42" spans="2:13" x14ac:dyDescent="0.25">
      <c r="B42" s="187"/>
      <c r="C42" s="187"/>
      <c r="D42" s="187"/>
      <c r="E42" s="187"/>
      <c r="F42" s="187"/>
      <c r="G42" s="187"/>
      <c r="H42" s="187"/>
      <c r="I42" s="187"/>
      <c r="J42" s="187"/>
      <c r="K42" s="187"/>
      <c r="L42" s="187"/>
      <c r="M42" s="187"/>
    </row>
    <row r="43" spans="2:13" x14ac:dyDescent="0.25">
      <c r="B43" s="187"/>
      <c r="C43" s="187"/>
      <c r="D43" s="187"/>
      <c r="E43" s="187"/>
      <c r="F43" s="187"/>
      <c r="G43" s="187"/>
      <c r="H43" s="187"/>
      <c r="I43" s="187"/>
      <c r="J43" s="187"/>
      <c r="K43" s="187"/>
      <c r="L43" s="187"/>
      <c r="M43" s="187"/>
    </row>
    <row r="44" spans="2:13" x14ac:dyDescent="0.25">
      <c r="B44" s="187"/>
      <c r="C44" s="187"/>
      <c r="D44" s="187"/>
      <c r="E44" s="187"/>
      <c r="F44" s="187"/>
      <c r="G44" s="187"/>
      <c r="H44" s="187"/>
      <c r="I44" s="187"/>
      <c r="J44" s="187"/>
      <c r="K44" s="187"/>
      <c r="L44" s="187"/>
      <c r="M44" s="187"/>
    </row>
    <row r="45" spans="2:13" x14ac:dyDescent="0.25">
      <c r="B45" s="187"/>
      <c r="C45" s="187"/>
      <c r="D45" s="187"/>
      <c r="E45" s="187"/>
      <c r="F45" s="187"/>
      <c r="G45" s="187"/>
      <c r="H45" s="187"/>
      <c r="I45" s="187"/>
      <c r="J45" s="187"/>
      <c r="K45" s="187"/>
      <c r="L45" s="187"/>
      <c r="M45" s="187"/>
    </row>
  </sheetData>
  <mergeCells count="2">
    <mergeCell ref="B37:M45"/>
    <mergeCell ref="B2:H4"/>
  </mergeCells>
  <pageMargins left="0.7" right="0.7" top="0.75" bottom="0.75" header="0.3" footer="0.3"/>
  <pageSetup scale="70"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sheetPr>
    <pageSetUpPr fitToPage="1"/>
  </sheetPr>
  <dimension ref="B1:K58"/>
  <sheetViews>
    <sheetView showGridLines="0" view="pageBreakPreview" topLeftCell="A16" zoomScale="80" zoomScaleNormal="80" zoomScaleSheetLayoutView="80" workbookViewId="0">
      <selection activeCell="B57" sqref="B57"/>
    </sheetView>
  </sheetViews>
  <sheetFormatPr defaultRowHeight="15" x14ac:dyDescent="0.25"/>
  <cols>
    <col min="1" max="1" width="3.28515625" customWidth="1"/>
    <col min="2" max="2" width="40.42578125" customWidth="1"/>
    <col min="3" max="3" width="15.5703125" customWidth="1"/>
    <col min="4" max="4" width="14.28515625" customWidth="1"/>
    <col min="5" max="5" width="14.5703125" customWidth="1"/>
    <col min="6" max="6" width="13.85546875" customWidth="1"/>
    <col min="7" max="7" width="13" customWidth="1"/>
  </cols>
  <sheetData>
    <row r="1" spans="2:11" ht="23.25" x14ac:dyDescent="0.35">
      <c r="B1" s="218" t="s">
        <v>143</v>
      </c>
      <c r="C1" s="218"/>
      <c r="D1" s="218"/>
      <c r="E1" s="218"/>
      <c r="F1" s="218"/>
      <c r="G1" s="218"/>
      <c r="H1" s="218"/>
    </row>
    <row r="2" spans="2:11" ht="15" customHeight="1" x14ac:dyDescent="0.35">
      <c r="B2" s="98"/>
      <c r="C2" s="99"/>
      <c r="D2" s="99"/>
      <c r="E2" s="99"/>
      <c r="F2" s="99"/>
      <c r="G2" s="99"/>
      <c r="H2" s="99"/>
    </row>
    <row r="3" spans="2:11" ht="15" customHeight="1" x14ac:dyDescent="0.35">
      <c r="B3" s="98"/>
      <c r="C3" s="99"/>
      <c r="D3" s="99"/>
      <c r="E3" s="99"/>
      <c r="F3" s="99"/>
      <c r="G3" s="99"/>
      <c r="H3" s="99"/>
    </row>
    <row r="4" spans="2:11" ht="18" customHeight="1" x14ac:dyDescent="0.35">
      <c r="B4" s="222" t="s">
        <v>144</v>
      </c>
      <c r="C4" s="223"/>
      <c r="D4" s="100">
        <v>65.600000000000065</v>
      </c>
      <c r="E4" s="111" t="s">
        <v>15</v>
      </c>
      <c r="F4" s="99"/>
      <c r="G4" s="99"/>
      <c r="H4" s="99"/>
    </row>
    <row r="5" spans="2:11" ht="15" customHeight="1" thickBot="1" x14ac:dyDescent="0.4">
      <c r="B5" s="98"/>
      <c r="C5" s="99"/>
      <c r="D5" s="99"/>
      <c r="E5" s="99"/>
      <c r="F5" s="99"/>
      <c r="G5" s="99"/>
      <c r="H5" s="99"/>
    </row>
    <row r="6" spans="2:11" ht="16.149999999999999" customHeight="1" x14ac:dyDescent="0.35">
      <c r="B6" s="219" t="s">
        <v>30</v>
      </c>
      <c r="C6" s="220"/>
      <c r="D6" s="220"/>
      <c r="E6" s="220"/>
      <c r="F6" s="220"/>
      <c r="G6" s="221"/>
      <c r="H6" s="99"/>
    </row>
    <row r="7" spans="2:11" ht="16.149999999999999" customHeight="1" x14ac:dyDescent="0.35">
      <c r="B7" s="212" t="s">
        <v>145</v>
      </c>
      <c r="C7" s="213"/>
      <c r="D7" s="213"/>
      <c r="E7" s="213"/>
      <c r="F7" s="213"/>
      <c r="G7" s="214"/>
      <c r="H7" s="99"/>
    </row>
    <row r="8" spans="2:11" x14ac:dyDescent="0.25">
      <c r="B8" s="70"/>
      <c r="G8" s="71"/>
    </row>
    <row r="9" spans="2:11" ht="29.25" x14ac:dyDescent="0.25">
      <c r="B9" s="45" t="s">
        <v>146</v>
      </c>
      <c r="C9" s="32" t="s">
        <v>147</v>
      </c>
      <c r="D9" s="32" t="s">
        <v>148</v>
      </c>
      <c r="E9" s="32" t="s">
        <v>149</v>
      </c>
      <c r="F9" s="32" t="s">
        <v>150</v>
      </c>
      <c r="G9" s="24" t="s">
        <v>74</v>
      </c>
    </row>
    <row r="10" spans="2:11" x14ac:dyDescent="0.25">
      <c r="B10" s="101">
        <v>45044</v>
      </c>
      <c r="C10" s="102">
        <f>D10/100</f>
        <v>0.65600000000000069</v>
      </c>
      <c r="D10" s="103">
        <f>D4</f>
        <v>65.600000000000065</v>
      </c>
      <c r="E10" s="104">
        <v>-0.7</v>
      </c>
      <c r="F10" s="105">
        <v>0.10059999999999999</v>
      </c>
      <c r="G10" s="106">
        <f>C10+F10</f>
        <v>0.75660000000000072</v>
      </c>
      <c r="K10" s="96"/>
    </row>
    <row r="11" spans="2:11" x14ac:dyDescent="0.25">
      <c r="B11" s="101">
        <v>45045</v>
      </c>
      <c r="C11" s="102">
        <f t="shared" ref="C11:C41" si="0">D11/100</f>
        <v>0.65200000000000058</v>
      </c>
      <c r="D11" s="104">
        <f>D10+E11</f>
        <v>65.20000000000006</v>
      </c>
      <c r="E11" s="104">
        <v>-0.4</v>
      </c>
      <c r="F11" s="105">
        <v>0.10059999999999999</v>
      </c>
      <c r="G11" s="106">
        <f t="shared" ref="G11:G43" si="1">C11+F11</f>
        <v>0.7526000000000006</v>
      </c>
      <c r="K11" s="96"/>
    </row>
    <row r="12" spans="2:11" x14ac:dyDescent="0.25">
      <c r="B12" s="101">
        <v>45046</v>
      </c>
      <c r="C12" s="102">
        <f t="shared" si="0"/>
        <v>0.65200000000000058</v>
      </c>
      <c r="D12" s="104">
        <f t="shared" ref="D12:D41" si="2">D11+E12</f>
        <v>65.20000000000006</v>
      </c>
      <c r="E12" s="104">
        <v>0</v>
      </c>
      <c r="F12" s="105">
        <v>0.10059999999999999</v>
      </c>
      <c r="G12" s="106">
        <f t="shared" si="1"/>
        <v>0.7526000000000006</v>
      </c>
      <c r="K12" s="96"/>
    </row>
    <row r="13" spans="2:11" x14ac:dyDescent="0.25">
      <c r="B13" s="101">
        <v>45047</v>
      </c>
      <c r="C13" s="102">
        <f t="shared" si="0"/>
        <v>0.65200000000000058</v>
      </c>
      <c r="D13" s="104">
        <f t="shared" si="2"/>
        <v>65.20000000000006</v>
      </c>
      <c r="E13" s="107">
        <v>0</v>
      </c>
      <c r="F13" s="105">
        <v>0.10059999999999999</v>
      </c>
      <c r="G13" s="106">
        <f t="shared" si="1"/>
        <v>0.7526000000000006</v>
      </c>
      <c r="K13" s="96"/>
    </row>
    <row r="14" spans="2:11" x14ac:dyDescent="0.25">
      <c r="B14" s="101">
        <v>45048</v>
      </c>
      <c r="C14" s="102">
        <f t="shared" si="0"/>
        <v>0.63500000000000056</v>
      </c>
      <c r="D14" s="104">
        <f t="shared" si="2"/>
        <v>63.500000000000057</v>
      </c>
      <c r="E14" s="107">
        <v>-1.7</v>
      </c>
      <c r="F14" s="105">
        <v>0.10059999999999999</v>
      </c>
      <c r="G14" s="106">
        <f t="shared" si="1"/>
        <v>0.73560000000000059</v>
      </c>
      <c r="K14" s="96"/>
    </row>
    <row r="15" spans="2:11" x14ac:dyDescent="0.25">
      <c r="B15" s="101">
        <v>45049</v>
      </c>
      <c r="C15" s="102">
        <f t="shared" si="0"/>
        <v>0.62800000000000056</v>
      </c>
      <c r="D15" s="104">
        <f t="shared" si="2"/>
        <v>62.800000000000054</v>
      </c>
      <c r="E15" s="107">
        <v>-0.7</v>
      </c>
      <c r="F15" s="105">
        <v>0.10059999999999999</v>
      </c>
      <c r="G15" s="106">
        <f t="shared" si="1"/>
        <v>0.72860000000000058</v>
      </c>
      <c r="K15" s="96"/>
    </row>
    <row r="16" spans="2:11" x14ac:dyDescent="0.25">
      <c r="B16" s="101">
        <v>45050</v>
      </c>
      <c r="C16" s="102">
        <f t="shared" si="0"/>
        <v>0.61500000000000055</v>
      </c>
      <c r="D16" s="104">
        <f t="shared" si="2"/>
        <v>61.500000000000057</v>
      </c>
      <c r="E16" s="107">
        <v>-1.3</v>
      </c>
      <c r="F16" s="105">
        <v>0.10059999999999999</v>
      </c>
      <c r="G16" s="106">
        <f t="shared" si="1"/>
        <v>0.71560000000000057</v>
      </c>
      <c r="K16" s="96"/>
    </row>
    <row r="17" spans="2:11" x14ac:dyDescent="0.25">
      <c r="B17" s="101">
        <v>45051</v>
      </c>
      <c r="C17" s="102">
        <f t="shared" si="0"/>
        <v>0.62400000000000055</v>
      </c>
      <c r="D17" s="104">
        <f t="shared" si="2"/>
        <v>62.400000000000055</v>
      </c>
      <c r="E17" s="107">
        <v>0.9</v>
      </c>
      <c r="F17" s="105">
        <v>0.10059999999999999</v>
      </c>
      <c r="G17" s="106">
        <f t="shared" si="1"/>
        <v>0.72460000000000058</v>
      </c>
      <c r="K17" s="96"/>
    </row>
    <row r="18" spans="2:11" x14ac:dyDescent="0.25">
      <c r="B18" s="101">
        <v>45052</v>
      </c>
      <c r="C18" s="102">
        <f t="shared" si="0"/>
        <v>0.62900000000000056</v>
      </c>
      <c r="D18" s="104">
        <f t="shared" si="2"/>
        <v>62.900000000000055</v>
      </c>
      <c r="E18" s="107">
        <v>0.5</v>
      </c>
      <c r="F18" s="105">
        <v>0.10059999999999999</v>
      </c>
      <c r="G18" s="106">
        <f t="shared" si="1"/>
        <v>0.72960000000000058</v>
      </c>
      <c r="K18" s="96"/>
    </row>
    <row r="19" spans="2:11" x14ac:dyDescent="0.25">
      <c r="B19" s="101">
        <v>45053</v>
      </c>
      <c r="C19" s="102">
        <f t="shared" si="0"/>
        <v>0.62900000000000056</v>
      </c>
      <c r="D19" s="104">
        <f t="shared" si="2"/>
        <v>62.900000000000055</v>
      </c>
      <c r="E19" s="107">
        <v>0</v>
      </c>
      <c r="F19" s="105">
        <v>0.10059999999999999</v>
      </c>
      <c r="G19" s="106">
        <f t="shared" si="1"/>
        <v>0.72960000000000058</v>
      </c>
      <c r="K19" s="96"/>
    </row>
    <row r="20" spans="2:11" x14ac:dyDescent="0.25">
      <c r="B20" s="101">
        <v>45054</v>
      </c>
      <c r="C20" s="102">
        <f t="shared" si="0"/>
        <v>0.62900000000000056</v>
      </c>
      <c r="D20" s="104">
        <f t="shared" si="2"/>
        <v>62.900000000000055</v>
      </c>
      <c r="E20" s="107">
        <v>0</v>
      </c>
      <c r="F20" s="105">
        <v>0.10059999999999999</v>
      </c>
      <c r="G20" s="106">
        <f t="shared" si="1"/>
        <v>0.72960000000000058</v>
      </c>
      <c r="K20" s="96"/>
    </row>
    <row r="21" spans="2:11" x14ac:dyDescent="0.25">
      <c r="B21" s="101">
        <v>45055</v>
      </c>
      <c r="C21" s="102">
        <f t="shared" si="0"/>
        <v>0.63300000000000056</v>
      </c>
      <c r="D21" s="104">
        <f t="shared" si="2"/>
        <v>63.300000000000054</v>
      </c>
      <c r="E21" s="107">
        <v>0.4</v>
      </c>
      <c r="F21" s="105">
        <v>0.10059999999999999</v>
      </c>
      <c r="G21" s="106">
        <f t="shared" si="1"/>
        <v>0.73360000000000058</v>
      </c>
      <c r="K21" s="96"/>
    </row>
    <row r="22" spans="2:11" x14ac:dyDescent="0.25">
      <c r="B22" s="101">
        <v>45056</v>
      </c>
      <c r="C22" s="102">
        <f t="shared" si="0"/>
        <v>0.63100000000000056</v>
      </c>
      <c r="D22" s="104">
        <f t="shared" si="2"/>
        <v>63.100000000000051</v>
      </c>
      <c r="E22" s="107">
        <v>-0.2</v>
      </c>
      <c r="F22" s="105">
        <v>0.10059999999999999</v>
      </c>
      <c r="G22" s="106">
        <f t="shared" si="1"/>
        <v>0.73160000000000058</v>
      </c>
      <c r="K22" s="96"/>
    </row>
    <row r="23" spans="2:11" x14ac:dyDescent="0.25">
      <c r="B23" s="101">
        <v>45057</v>
      </c>
      <c r="C23" s="102">
        <f t="shared" si="0"/>
        <v>0.62800000000000056</v>
      </c>
      <c r="D23" s="104">
        <f t="shared" si="2"/>
        <v>62.800000000000054</v>
      </c>
      <c r="E23" s="109">
        <v>-0.3</v>
      </c>
      <c r="F23" s="105">
        <v>0.10059999999999999</v>
      </c>
      <c r="G23" s="106">
        <f t="shared" si="1"/>
        <v>0.72860000000000058</v>
      </c>
      <c r="K23" s="96"/>
    </row>
    <row r="24" spans="2:11" x14ac:dyDescent="0.25">
      <c r="B24" s="101">
        <v>45058</v>
      </c>
      <c r="C24" s="102">
        <f t="shared" si="0"/>
        <v>0.62300000000000055</v>
      </c>
      <c r="D24" s="104">
        <f t="shared" si="2"/>
        <v>62.300000000000054</v>
      </c>
      <c r="E24" s="107">
        <v>-0.5</v>
      </c>
      <c r="F24" s="105">
        <v>0.10059999999999999</v>
      </c>
      <c r="G24" s="106">
        <f t="shared" si="1"/>
        <v>0.72360000000000058</v>
      </c>
      <c r="K24" s="96"/>
    </row>
    <row r="25" spans="2:11" x14ac:dyDescent="0.25">
      <c r="B25" s="101">
        <v>45059</v>
      </c>
      <c r="C25" s="102">
        <f t="shared" si="0"/>
        <v>0.61700000000000055</v>
      </c>
      <c r="D25" s="104">
        <f t="shared" si="2"/>
        <v>61.700000000000053</v>
      </c>
      <c r="E25" s="107">
        <v>-0.6</v>
      </c>
      <c r="F25" s="105">
        <v>0.10059999999999999</v>
      </c>
      <c r="G25" s="106">
        <f t="shared" si="1"/>
        <v>0.71760000000000057</v>
      </c>
      <c r="K25" s="96"/>
    </row>
    <row r="26" spans="2:11" x14ac:dyDescent="0.25">
      <c r="B26" s="101">
        <v>45060</v>
      </c>
      <c r="C26" s="102">
        <f t="shared" si="0"/>
        <v>0.61700000000000055</v>
      </c>
      <c r="D26" s="104">
        <f t="shared" si="2"/>
        <v>61.700000000000053</v>
      </c>
      <c r="E26" s="107">
        <v>0</v>
      </c>
      <c r="F26" s="105">
        <v>0.10059999999999999</v>
      </c>
      <c r="G26" s="106">
        <f t="shared" si="1"/>
        <v>0.71760000000000057</v>
      </c>
      <c r="K26" s="96"/>
    </row>
    <row r="27" spans="2:11" x14ac:dyDescent="0.25">
      <c r="B27" s="101">
        <v>45061</v>
      </c>
      <c r="C27" s="102">
        <f t="shared" si="0"/>
        <v>0.61700000000000055</v>
      </c>
      <c r="D27" s="104">
        <f t="shared" si="2"/>
        <v>61.700000000000053</v>
      </c>
      <c r="E27" s="107">
        <v>0</v>
      </c>
      <c r="F27" s="105">
        <v>0.10059999999999999</v>
      </c>
      <c r="G27" s="106">
        <f t="shared" si="1"/>
        <v>0.71760000000000057</v>
      </c>
      <c r="K27" s="96"/>
    </row>
    <row r="28" spans="2:11" x14ac:dyDescent="0.25">
      <c r="B28" s="101">
        <v>45062</v>
      </c>
      <c r="C28" s="102">
        <f t="shared" si="0"/>
        <v>0.61100000000000054</v>
      </c>
      <c r="D28" s="104">
        <f t="shared" si="2"/>
        <v>61.100000000000051</v>
      </c>
      <c r="E28" s="107">
        <v>-0.6</v>
      </c>
      <c r="F28" s="105">
        <v>0.10059999999999999</v>
      </c>
      <c r="G28" s="106">
        <f t="shared" si="1"/>
        <v>0.71160000000000057</v>
      </c>
      <c r="K28" s="96"/>
    </row>
    <row r="29" spans="2:11" x14ac:dyDescent="0.25">
      <c r="B29" s="101">
        <v>45063</v>
      </c>
      <c r="C29" s="102">
        <f t="shared" si="0"/>
        <v>0.61200000000000054</v>
      </c>
      <c r="D29" s="104">
        <f t="shared" si="2"/>
        <v>61.200000000000053</v>
      </c>
      <c r="E29" s="107">
        <v>0.1</v>
      </c>
      <c r="F29" s="105">
        <v>0.10059999999999999</v>
      </c>
      <c r="G29" s="106">
        <f t="shared" si="1"/>
        <v>0.71260000000000057</v>
      </c>
      <c r="K29" s="96"/>
    </row>
    <row r="30" spans="2:11" x14ac:dyDescent="0.25">
      <c r="B30" s="101">
        <v>45064</v>
      </c>
      <c r="C30" s="102">
        <f t="shared" si="0"/>
        <v>0.61500000000000055</v>
      </c>
      <c r="D30" s="104">
        <f t="shared" si="2"/>
        <v>61.50000000000005</v>
      </c>
      <c r="E30" s="107">
        <v>0.3</v>
      </c>
      <c r="F30" s="105">
        <v>0.10059999999999999</v>
      </c>
      <c r="G30" s="106">
        <f t="shared" si="1"/>
        <v>0.71560000000000057</v>
      </c>
      <c r="K30" s="96"/>
    </row>
    <row r="31" spans="2:11" x14ac:dyDescent="0.25">
      <c r="B31" s="101">
        <v>45065</v>
      </c>
      <c r="C31" s="102">
        <f t="shared" si="0"/>
        <v>0.61200000000000054</v>
      </c>
      <c r="D31" s="104">
        <f t="shared" si="2"/>
        <v>61.200000000000053</v>
      </c>
      <c r="E31" s="107">
        <v>-0.3</v>
      </c>
      <c r="F31" s="105">
        <v>0.10059999999999999</v>
      </c>
      <c r="G31" s="106">
        <f t="shared" si="1"/>
        <v>0.71260000000000057</v>
      </c>
      <c r="K31" s="96"/>
    </row>
    <row r="32" spans="2:11" x14ac:dyDescent="0.25">
      <c r="B32" s="101">
        <v>45066</v>
      </c>
      <c r="C32" s="102">
        <f t="shared" si="0"/>
        <v>0.61400000000000055</v>
      </c>
      <c r="D32" s="104">
        <f t="shared" si="2"/>
        <v>61.400000000000055</v>
      </c>
      <c r="E32" s="107">
        <v>0.2</v>
      </c>
      <c r="F32" s="105">
        <v>0.10059999999999999</v>
      </c>
      <c r="G32" s="106">
        <f t="shared" si="1"/>
        <v>0.71460000000000057</v>
      </c>
      <c r="K32" s="96"/>
    </row>
    <row r="33" spans="2:11" x14ac:dyDescent="0.25">
      <c r="B33" s="101">
        <v>45067</v>
      </c>
      <c r="C33" s="102">
        <f t="shared" si="0"/>
        <v>0.61400000000000055</v>
      </c>
      <c r="D33" s="104">
        <f t="shared" si="2"/>
        <v>61.400000000000055</v>
      </c>
      <c r="E33" s="107">
        <v>0</v>
      </c>
      <c r="F33" s="105">
        <v>0.10059999999999999</v>
      </c>
      <c r="G33" s="106">
        <f t="shared" si="1"/>
        <v>0.71460000000000057</v>
      </c>
      <c r="K33" s="96"/>
    </row>
    <row r="34" spans="2:11" x14ac:dyDescent="0.25">
      <c r="B34" s="101">
        <v>45068</v>
      </c>
      <c r="C34" s="102">
        <f t="shared" si="0"/>
        <v>0.61400000000000055</v>
      </c>
      <c r="D34" s="104">
        <f t="shared" si="2"/>
        <v>61.400000000000055</v>
      </c>
      <c r="E34" s="107">
        <v>0</v>
      </c>
      <c r="F34" s="105">
        <v>0.10059999999999999</v>
      </c>
      <c r="G34" s="106">
        <f t="shared" si="1"/>
        <v>0.71460000000000057</v>
      </c>
      <c r="K34" s="96"/>
    </row>
    <row r="35" spans="2:11" x14ac:dyDescent="0.25">
      <c r="B35" s="101">
        <v>45069</v>
      </c>
      <c r="C35" s="102">
        <f t="shared" si="0"/>
        <v>0.61400000000000055</v>
      </c>
      <c r="D35" s="104">
        <f t="shared" si="2"/>
        <v>61.400000000000055</v>
      </c>
      <c r="E35" s="107">
        <v>0</v>
      </c>
      <c r="F35" s="105">
        <v>0.10059999999999999</v>
      </c>
      <c r="G35" s="106">
        <f t="shared" si="1"/>
        <v>0.71460000000000057</v>
      </c>
      <c r="K35" s="96"/>
    </row>
    <row r="36" spans="2:11" x14ac:dyDescent="0.25">
      <c r="B36" s="101">
        <v>45070</v>
      </c>
      <c r="C36" s="102">
        <f t="shared" si="0"/>
        <v>0.61400000000000055</v>
      </c>
      <c r="D36" s="104">
        <f t="shared" si="2"/>
        <v>61.400000000000055</v>
      </c>
      <c r="E36" s="107">
        <v>0</v>
      </c>
      <c r="F36" s="105">
        <v>0.10059999999999999</v>
      </c>
      <c r="G36" s="106">
        <f t="shared" si="1"/>
        <v>0.71460000000000057</v>
      </c>
      <c r="K36" s="96"/>
    </row>
    <row r="37" spans="2:11" x14ac:dyDescent="0.25">
      <c r="B37" s="101">
        <v>45071</v>
      </c>
      <c r="C37" s="102">
        <f t="shared" si="0"/>
        <v>0.61800000000000055</v>
      </c>
      <c r="D37" s="104">
        <f t="shared" si="2"/>
        <v>61.800000000000054</v>
      </c>
      <c r="E37" s="107">
        <v>0.4</v>
      </c>
      <c r="F37" s="105">
        <v>0.10059999999999999</v>
      </c>
      <c r="G37" s="106">
        <f t="shared" si="1"/>
        <v>0.71860000000000057</v>
      </c>
      <c r="K37" s="96"/>
    </row>
    <row r="38" spans="2:11" x14ac:dyDescent="0.25">
      <c r="B38" s="101">
        <v>45072</v>
      </c>
      <c r="C38" s="102">
        <f t="shared" si="0"/>
        <v>0.61100000000000054</v>
      </c>
      <c r="D38" s="104">
        <f t="shared" si="2"/>
        <v>61.100000000000051</v>
      </c>
      <c r="E38" s="107">
        <v>-0.7</v>
      </c>
      <c r="F38" s="105">
        <v>0.10059999999999999</v>
      </c>
      <c r="G38" s="106">
        <f t="shared" si="1"/>
        <v>0.71160000000000057</v>
      </c>
      <c r="K38" s="96"/>
    </row>
    <row r="39" spans="2:11" x14ac:dyDescent="0.25">
      <c r="B39" s="101">
        <v>45073</v>
      </c>
      <c r="C39" s="102">
        <f t="shared" si="0"/>
        <v>0.61100000000000054</v>
      </c>
      <c r="D39" s="104">
        <f t="shared" si="2"/>
        <v>61.100000000000051</v>
      </c>
      <c r="E39" s="107">
        <v>0</v>
      </c>
      <c r="F39" s="105">
        <v>0.10059999999999999</v>
      </c>
      <c r="G39" s="106">
        <f t="shared" si="1"/>
        <v>0.71160000000000057</v>
      </c>
      <c r="K39" s="96"/>
    </row>
    <row r="40" spans="2:11" x14ac:dyDescent="0.25">
      <c r="B40" s="101">
        <v>45074</v>
      </c>
      <c r="C40" s="102">
        <f t="shared" si="0"/>
        <v>0.61100000000000054</v>
      </c>
      <c r="D40" s="104">
        <f t="shared" si="2"/>
        <v>61.100000000000051</v>
      </c>
      <c r="E40" s="107">
        <v>0</v>
      </c>
      <c r="F40" s="105">
        <v>0.10059999999999999</v>
      </c>
      <c r="G40" s="106">
        <f t="shared" si="1"/>
        <v>0.71160000000000057</v>
      </c>
      <c r="K40" s="96"/>
    </row>
    <row r="41" spans="2:11" x14ac:dyDescent="0.25">
      <c r="B41" s="101">
        <v>45075</v>
      </c>
      <c r="C41" s="102">
        <f t="shared" si="0"/>
        <v>0.61100000000000054</v>
      </c>
      <c r="D41" s="104">
        <f t="shared" si="2"/>
        <v>61.100000000000051</v>
      </c>
      <c r="E41" s="107">
        <v>0</v>
      </c>
      <c r="F41" s="105">
        <v>0.10059999999999999</v>
      </c>
      <c r="G41" s="106">
        <f t="shared" si="1"/>
        <v>0.71160000000000057</v>
      </c>
      <c r="K41" s="96"/>
    </row>
    <row r="42" spans="2:11" x14ac:dyDescent="0.25">
      <c r="B42" s="101">
        <v>45076</v>
      </c>
      <c r="C42" s="102">
        <f t="shared" ref="C42:C43" si="3">D42/100</f>
        <v>0.61100000000000054</v>
      </c>
      <c r="D42" s="104">
        <f t="shared" ref="D42:D43" si="4">D41+E42</f>
        <v>61.100000000000051</v>
      </c>
      <c r="E42" s="107">
        <v>0</v>
      </c>
      <c r="F42" s="105">
        <v>0.10059999999999999</v>
      </c>
      <c r="G42" s="106">
        <f t="shared" si="1"/>
        <v>0.71160000000000057</v>
      </c>
      <c r="K42" s="96"/>
    </row>
    <row r="43" spans="2:11" x14ac:dyDescent="0.25">
      <c r="B43" s="101">
        <v>45077</v>
      </c>
      <c r="C43" s="102">
        <f t="shared" si="3"/>
        <v>0.59800000000000053</v>
      </c>
      <c r="D43" s="104">
        <f t="shared" si="4"/>
        <v>59.800000000000054</v>
      </c>
      <c r="E43" s="107">
        <v>-1.3</v>
      </c>
      <c r="F43" s="105">
        <v>0.10059999999999999</v>
      </c>
      <c r="G43" s="106">
        <f t="shared" si="1"/>
        <v>0.69860000000000055</v>
      </c>
      <c r="K43" s="96"/>
    </row>
    <row r="44" spans="2:11" x14ac:dyDescent="0.25">
      <c r="B44" s="108"/>
      <c r="C44" s="102"/>
      <c r="D44" s="104"/>
      <c r="E44" s="107"/>
      <c r="F44" s="105"/>
      <c r="G44" s="106"/>
    </row>
    <row r="45" spans="2:11" x14ac:dyDescent="0.25">
      <c r="B45" s="108"/>
      <c r="C45" s="60"/>
      <c r="D45" s="33"/>
      <c r="E45" s="69"/>
      <c r="F45" s="33"/>
      <c r="G45" s="8"/>
    </row>
    <row r="46" spans="2:11" x14ac:dyDescent="0.25">
      <c r="B46" s="108" t="s">
        <v>151</v>
      </c>
      <c r="C46" s="122">
        <f>AVERAGE(D13:D43)</f>
        <v>61.929032258064581</v>
      </c>
      <c r="D46" s="33"/>
      <c r="E46" s="69"/>
      <c r="F46" s="33"/>
      <c r="G46" s="8"/>
    </row>
    <row r="47" spans="2:11" x14ac:dyDescent="0.25">
      <c r="B47" s="108"/>
      <c r="C47" s="60"/>
      <c r="D47" s="33"/>
      <c r="E47" s="69"/>
      <c r="F47" s="33"/>
      <c r="G47" s="8"/>
    </row>
    <row r="48" spans="2:11" x14ac:dyDescent="0.25">
      <c r="B48" s="108" t="s">
        <v>152</v>
      </c>
      <c r="C48" s="122">
        <f>C46</f>
        <v>61.929032258064581</v>
      </c>
      <c r="D48" s="33"/>
      <c r="E48" s="69"/>
      <c r="F48" s="33"/>
      <c r="G48" s="8"/>
    </row>
    <row r="49" spans="2:10" x14ac:dyDescent="0.25">
      <c r="B49" s="108" t="s">
        <v>153</v>
      </c>
      <c r="C49" s="122">
        <f>F43*100</f>
        <v>10.059999999999999</v>
      </c>
      <c r="D49" s="33"/>
      <c r="E49" s="69"/>
      <c r="F49" s="33"/>
      <c r="G49" s="8"/>
    </row>
    <row r="50" spans="2:10" x14ac:dyDescent="0.25">
      <c r="B50" s="108" t="s">
        <v>154</v>
      </c>
      <c r="C50" s="122">
        <f>SUM(C48:C49)</f>
        <v>71.989032258064583</v>
      </c>
      <c r="D50" s="33"/>
      <c r="E50" s="44"/>
      <c r="F50" s="33"/>
      <c r="G50" s="8"/>
    </row>
    <row r="51" spans="2:10" x14ac:dyDescent="0.25">
      <c r="B51" s="108" t="s">
        <v>147</v>
      </c>
      <c r="C51" s="122">
        <f>C50/100</f>
        <v>0.71989032258064578</v>
      </c>
      <c r="D51" s="33"/>
      <c r="E51" s="44"/>
      <c r="F51" s="33"/>
      <c r="G51" s="8"/>
    </row>
    <row r="52" spans="2:10" ht="15.75" thickBot="1" x14ac:dyDescent="0.3">
      <c r="B52" s="110"/>
      <c r="C52" s="67"/>
      <c r="D52" s="121"/>
      <c r="E52" s="112"/>
      <c r="F52" s="42"/>
      <c r="G52" s="21"/>
    </row>
    <row r="54" spans="2:10" x14ac:dyDescent="0.25">
      <c r="B54" s="113" t="s">
        <v>155</v>
      </c>
    </row>
    <row r="55" spans="2:10" x14ac:dyDescent="0.25">
      <c r="B55" s="44" t="s">
        <v>156</v>
      </c>
      <c r="C55" s="33"/>
      <c r="D55" s="69"/>
      <c r="E55" s="33"/>
      <c r="F55" s="2"/>
      <c r="G55" s="2"/>
      <c r="H55" s="2"/>
      <c r="I55" s="2"/>
      <c r="J55" s="2"/>
    </row>
    <row r="56" spans="2:10" x14ac:dyDescent="0.25">
      <c r="B56" s="60" t="s">
        <v>157</v>
      </c>
      <c r="C56" s="33"/>
      <c r="D56" s="69"/>
      <c r="E56" s="33"/>
      <c r="F56" s="2"/>
      <c r="G56" s="2"/>
      <c r="H56" s="2"/>
      <c r="I56" s="2"/>
      <c r="J56" s="2"/>
    </row>
    <row r="57" spans="2:10" x14ac:dyDescent="0.25">
      <c r="B57" s="60" t="s">
        <v>158</v>
      </c>
      <c r="C57" s="33"/>
      <c r="D57" s="69"/>
      <c r="E57" s="33"/>
      <c r="F57" s="2"/>
      <c r="G57" s="2"/>
      <c r="H57" s="2"/>
      <c r="I57" s="2"/>
      <c r="J57" s="2"/>
    </row>
    <row r="58" spans="2:10" x14ac:dyDescent="0.25">
      <c r="B58" s="224"/>
      <c r="C58" s="224"/>
      <c r="D58" s="224"/>
      <c r="E58" s="224"/>
      <c r="F58" s="224"/>
      <c r="G58" s="224"/>
      <c r="H58" s="114"/>
      <c r="I58" s="114"/>
      <c r="J58" s="114"/>
    </row>
  </sheetData>
  <mergeCells count="5">
    <mergeCell ref="B1:H1"/>
    <mergeCell ref="B6:G6"/>
    <mergeCell ref="B7:G7"/>
    <mergeCell ref="B4:C4"/>
    <mergeCell ref="B58:G58"/>
  </mergeCells>
  <pageMargins left="0.7" right="0.7" top="0.75" bottom="0.75" header="0.3" footer="0.3"/>
  <pageSetup scale="72" orientation="portrait" r:id="rId1"/>
  <customProperties>
    <customPr name="EpmWorksheetKeyString_GUID" r:id="rId2"/>
  </customProperties>
  <ignoredErrors>
    <ignoredError sqref="E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4771-1443-40BB-93A0-EE622212405A}">
  <dimension ref="A1:H10"/>
  <sheetViews>
    <sheetView workbookViewId="0">
      <selection activeCell="A3" sqref="A3"/>
    </sheetView>
  </sheetViews>
  <sheetFormatPr defaultColWidth="8.85546875" defaultRowHeight="15" x14ac:dyDescent="0.25"/>
  <cols>
    <col min="1" max="1" width="31.7109375" customWidth="1"/>
    <col min="2" max="2" width="11.28515625" bestFit="1" customWidth="1"/>
    <col min="3" max="3" width="17.85546875" customWidth="1"/>
    <col min="4" max="4" width="17.7109375" bestFit="1" customWidth="1"/>
  </cols>
  <sheetData>
    <row r="1" spans="1:8" ht="45" x14ac:dyDescent="0.25">
      <c r="A1" s="177" t="s">
        <v>159</v>
      </c>
      <c r="B1" s="177" t="s">
        <v>160</v>
      </c>
      <c r="C1" s="177" t="s">
        <v>161</v>
      </c>
      <c r="D1" s="177" t="s">
        <v>162</v>
      </c>
    </row>
    <row r="2" spans="1:8" x14ac:dyDescent="0.25">
      <c r="A2" s="178" t="s">
        <v>163</v>
      </c>
      <c r="B2" s="179" t="s">
        <v>164</v>
      </c>
      <c r="C2" s="180">
        <v>1852</v>
      </c>
      <c r="D2" s="181" t="s">
        <v>164</v>
      </c>
    </row>
    <row r="3" spans="1:8" x14ac:dyDescent="0.25">
      <c r="A3" s="182" t="s">
        <v>165</v>
      </c>
      <c r="B3" s="183">
        <v>0.05</v>
      </c>
      <c r="C3" s="180">
        <v>2445</v>
      </c>
      <c r="D3" s="180">
        <f>C3-C2</f>
        <v>593</v>
      </c>
    </row>
    <row r="4" spans="1:8" x14ac:dyDescent="0.25">
      <c r="A4" s="178" t="s">
        <v>166</v>
      </c>
      <c r="B4" s="183">
        <v>0.26</v>
      </c>
      <c r="C4" s="180">
        <v>4372</v>
      </c>
      <c r="D4" s="180">
        <f>C4-C2</f>
        <v>2520</v>
      </c>
    </row>
    <row r="5" spans="1:8" x14ac:dyDescent="0.25">
      <c r="A5" s="178" t="s">
        <v>8</v>
      </c>
      <c r="B5" s="183">
        <v>0.47</v>
      </c>
      <c r="C5" s="180">
        <v>2727</v>
      </c>
      <c r="D5" s="180">
        <f>C5-C2</f>
        <v>875</v>
      </c>
      <c r="H5" s="184"/>
    </row>
    <row r="6" spans="1:8" x14ac:dyDescent="0.25">
      <c r="A6" s="178" t="s">
        <v>167</v>
      </c>
      <c r="B6" s="183">
        <v>0.15</v>
      </c>
      <c r="C6" s="186" t="s">
        <v>171</v>
      </c>
      <c r="D6" s="186" t="s">
        <v>171</v>
      </c>
      <c r="H6" s="184"/>
    </row>
    <row r="7" spans="1:8" x14ac:dyDescent="0.25">
      <c r="A7" s="182" t="s">
        <v>168</v>
      </c>
      <c r="B7" s="183">
        <v>0.03</v>
      </c>
      <c r="C7" s="186" t="s">
        <v>170</v>
      </c>
      <c r="D7" s="186" t="s">
        <v>170</v>
      </c>
      <c r="H7" s="184"/>
    </row>
    <row r="8" spans="1:8" ht="30" customHeight="1" x14ac:dyDescent="0.25">
      <c r="A8" s="189" t="s">
        <v>169</v>
      </c>
      <c r="B8" s="190"/>
      <c r="C8" s="191"/>
      <c r="D8" s="185">
        <f>($B$3*D3)+($B$4*D4)+($B$5*D5)</f>
        <v>1096.0999999999999</v>
      </c>
      <c r="H8" s="184"/>
    </row>
    <row r="9" spans="1:8" x14ac:dyDescent="0.25">
      <c r="H9" s="184"/>
    </row>
    <row r="10" spans="1:8" x14ac:dyDescent="0.25">
      <c r="H10" s="184"/>
    </row>
  </sheetData>
  <mergeCells count="1">
    <mergeCell ref="A8:C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sheetPr>
    <pageSetUpPr fitToPage="1"/>
  </sheetPr>
  <dimension ref="A1:K29"/>
  <sheetViews>
    <sheetView showGridLines="0" view="pageBreakPreview" topLeftCell="A2" zoomScale="70" zoomScaleNormal="80" zoomScaleSheetLayoutView="70" workbookViewId="0">
      <selection activeCell="J22" sqref="J22"/>
    </sheetView>
  </sheetViews>
  <sheetFormatPr defaultRowHeight="15" x14ac:dyDescent="0.25"/>
  <cols>
    <col min="1" max="2" width="3.28515625" customWidth="1"/>
    <col min="3" max="3" width="4.28515625" customWidth="1"/>
    <col min="4" max="4" width="40.7109375" customWidth="1"/>
    <col min="5" max="8" width="17" customWidth="1"/>
  </cols>
  <sheetData>
    <row r="1" spans="1:11" ht="18" x14ac:dyDescent="0.25">
      <c r="B1" s="167" t="s">
        <v>2</v>
      </c>
      <c r="C1" s="168"/>
      <c r="D1" s="156"/>
      <c r="E1" s="156"/>
      <c r="F1" s="156"/>
      <c r="G1" s="156"/>
      <c r="H1" s="156"/>
      <c r="I1" s="156"/>
      <c r="J1" s="156"/>
      <c r="K1" s="156"/>
    </row>
    <row r="2" spans="1:11" ht="18" x14ac:dyDescent="0.25">
      <c r="B2" s="169" t="s">
        <v>3</v>
      </c>
      <c r="C2" s="168"/>
      <c r="E2" s="156"/>
      <c r="F2" s="156"/>
      <c r="G2" s="156"/>
      <c r="H2" s="156"/>
      <c r="I2" s="156"/>
      <c r="J2" s="156"/>
      <c r="K2" s="156"/>
    </row>
    <row r="3" spans="1:11" ht="23.25" x14ac:dyDescent="0.35">
      <c r="C3" s="1"/>
    </row>
    <row r="4" spans="1:11" ht="15.75" thickBot="1" x14ac:dyDescent="0.3"/>
    <row r="5" spans="1:11" ht="65.099999999999994" customHeight="1" thickBot="1" x14ac:dyDescent="0.3">
      <c r="A5" s="2"/>
      <c r="B5" s="2"/>
      <c r="C5" s="2"/>
      <c r="D5" s="117"/>
      <c r="E5" s="192" t="s">
        <v>4</v>
      </c>
      <c r="F5" s="193"/>
      <c r="G5" s="193"/>
      <c r="H5" s="194"/>
      <c r="I5" s="2"/>
    </row>
    <row r="6" spans="1:11" ht="20.100000000000001" customHeight="1" thickTop="1" x14ac:dyDescent="0.25">
      <c r="A6" s="2"/>
      <c r="B6" s="2"/>
      <c r="C6" s="2"/>
      <c r="D6" s="195"/>
      <c r="E6" s="123" t="s">
        <v>5</v>
      </c>
      <c r="F6" s="124" t="s">
        <v>6</v>
      </c>
      <c r="G6" s="124" t="s">
        <v>7</v>
      </c>
      <c r="H6" s="125" t="s">
        <v>8</v>
      </c>
      <c r="I6" s="2"/>
    </row>
    <row r="7" spans="1:11" ht="20.100000000000001" customHeight="1" thickBot="1" x14ac:dyDescent="0.3">
      <c r="A7" s="2"/>
      <c r="B7" s="2"/>
      <c r="C7" s="2"/>
      <c r="D7" s="196"/>
      <c r="E7" s="126">
        <f>E11</f>
        <v>0.77169999999999994</v>
      </c>
      <c r="F7" s="127">
        <f t="shared" ref="F7:H7" si="0">F11</f>
        <v>1.6327433628318584</v>
      </c>
      <c r="G7" s="128">
        <f t="shared" si="0"/>
        <v>0.11398551636</v>
      </c>
      <c r="H7" s="129">
        <f t="shared" si="0"/>
        <v>0.71989032258064578</v>
      </c>
      <c r="I7" s="2"/>
    </row>
    <row r="8" spans="1:11" ht="20.100000000000001" customHeight="1" thickTop="1" x14ac:dyDescent="0.25">
      <c r="A8" s="2"/>
      <c r="B8" s="2"/>
      <c r="C8" s="2"/>
      <c r="D8" s="130" t="s">
        <v>9</v>
      </c>
      <c r="E8" s="131">
        <f>'Efficiency-Adjusted Conversion'!C9</f>
        <v>2400</v>
      </c>
      <c r="F8" s="131">
        <f>'Efficiency-Adjusted Conversion'!D9</f>
        <v>2677.6229106482701</v>
      </c>
      <c r="G8" s="131">
        <f>'Efficiency-Adjusted Conversion'!E9</f>
        <v>21448.263640607875</v>
      </c>
      <c r="H8" s="132">
        <f>'Efficiency-Adjusted Conversion'!F9</f>
        <v>3787.5668683054523</v>
      </c>
      <c r="I8" s="2"/>
    </row>
    <row r="9" spans="1:11" ht="20.100000000000001" customHeight="1" x14ac:dyDescent="0.25">
      <c r="A9" s="2"/>
      <c r="B9" s="2"/>
      <c r="C9" s="2"/>
      <c r="D9" s="133" t="s">
        <v>10</v>
      </c>
      <c r="E9" s="134">
        <f>E11*E8</f>
        <v>1852.08</v>
      </c>
      <c r="F9" s="135">
        <f>F11*F8</f>
        <v>4371.8710355274852</v>
      </c>
      <c r="G9" s="135">
        <f>G11*G8</f>
        <v>2444.791406100102</v>
      </c>
      <c r="H9" s="136">
        <f>H11*H8</f>
        <v>2726.6327346201783</v>
      </c>
      <c r="I9" s="2"/>
    </row>
    <row r="10" spans="1:11" ht="20.100000000000001" customHeight="1" x14ac:dyDescent="0.25">
      <c r="A10" s="2"/>
      <c r="B10" s="2"/>
      <c r="C10" s="2"/>
      <c r="D10" s="137"/>
      <c r="E10" s="149"/>
      <c r="F10" s="149"/>
      <c r="G10" s="149"/>
      <c r="H10" s="138"/>
      <c r="I10" s="2"/>
    </row>
    <row r="11" spans="1:11" ht="20.100000000000001" customHeight="1" x14ac:dyDescent="0.25">
      <c r="A11" s="2"/>
      <c r="B11" s="2"/>
      <c r="C11" s="2"/>
      <c r="D11" s="139" t="s">
        <v>11</v>
      </c>
      <c r="E11" s="140">
        <f>'Natural Gas Price ($ per m3)'!E27</f>
        <v>0.77169999999999994</v>
      </c>
      <c r="F11" s="140">
        <f>'Oil Price ($ per L)'!C20</f>
        <v>1.6327433628318584</v>
      </c>
      <c r="G11" s="140">
        <f>'Electricity Price ($ per kWh)'!G26</f>
        <v>0.11398551636</v>
      </c>
      <c r="H11" s="141">
        <f>'Propane Price ($ per L)'!C51</f>
        <v>0.71989032258064578</v>
      </c>
      <c r="I11" s="2"/>
    </row>
    <row r="12" spans="1:11" ht="20.100000000000001" customHeight="1" thickBot="1" x14ac:dyDescent="0.3">
      <c r="A12" s="2"/>
      <c r="B12" s="2"/>
      <c r="C12" s="2"/>
      <c r="D12" s="142"/>
      <c r="E12" s="143"/>
      <c r="F12" s="143"/>
      <c r="G12" s="143"/>
      <c r="H12" s="144"/>
      <c r="I12" s="2"/>
    </row>
    <row r="13" spans="1:11" ht="20.100000000000001" customHeight="1" thickTop="1" x14ac:dyDescent="0.25">
      <c r="A13" s="2"/>
      <c r="B13" s="2"/>
      <c r="C13" s="2"/>
      <c r="D13" s="145" t="s">
        <v>12</v>
      </c>
      <c r="E13" s="146"/>
      <c r="F13" s="147">
        <f>+F9-$E$9</f>
        <v>2519.7910355274853</v>
      </c>
      <c r="G13" s="147">
        <f>+G9-$E$9</f>
        <v>592.71140610010207</v>
      </c>
      <c r="H13" s="148">
        <f>+H9-$E$9</f>
        <v>874.5527346201784</v>
      </c>
      <c r="I13" s="2"/>
    </row>
    <row r="14" spans="1:11" ht="20.100000000000001" customHeight="1" thickBot="1" x14ac:dyDescent="0.3">
      <c r="A14" s="2"/>
      <c r="B14" s="2"/>
      <c r="C14" s="2"/>
      <c r="D14" s="150" t="s">
        <v>13</v>
      </c>
      <c r="E14" s="151"/>
      <c r="F14" s="152">
        <f>+F13/F$9</f>
        <v>0.57636444786470276</v>
      </c>
      <c r="G14" s="152">
        <f>+G13/G$9</f>
        <v>0.24243843651495292</v>
      </c>
      <c r="H14" s="153">
        <f>+H13/H$9</f>
        <v>0.32074460323018317</v>
      </c>
      <c r="I14" s="2"/>
    </row>
    <row r="17" spans="2:8" ht="15.75" x14ac:dyDescent="0.25">
      <c r="B17" s="154" t="s">
        <v>14</v>
      </c>
      <c r="C17" s="155"/>
      <c r="D17" s="156"/>
      <c r="E17" s="157"/>
      <c r="F17" s="158"/>
      <c r="G17" s="158"/>
      <c r="H17" s="158"/>
    </row>
    <row r="18" spans="2:8" ht="15.75" x14ac:dyDescent="0.25">
      <c r="B18" s="154"/>
      <c r="C18" s="155"/>
      <c r="D18" s="156"/>
      <c r="E18" s="157"/>
      <c r="F18" s="158"/>
      <c r="G18" s="158"/>
      <c r="H18" s="158"/>
    </row>
    <row r="19" spans="2:8" ht="15.75" x14ac:dyDescent="0.25">
      <c r="B19" s="159" t="s">
        <v>15</v>
      </c>
      <c r="C19" s="155" t="s">
        <v>9</v>
      </c>
      <c r="D19" s="156"/>
      <c r="E19" s="157"/>
      <c r="F19" s="158"/>
      <c r="G19" s="158"/>
      <c r="H19" s="158"/>
    </row>
    <row r="20" spans="2:8" ht="48" customHeight="1" x14ac:dyDescent="0.25">
      <c r="B20" s="159"/>
      <c r="C20" s="155"/>
      <c r="D20" s="197" t="s">
        <v>16</v>
      </c>
      <c r="E20" s="197"/>
      <c r="F20" s="197"/>
      <c r="G20" s="197"/>
      <c r="H20" s="197"/>
    </row>
    <row r="21" spans="2:8" ht="35.25" customHeight="1" x14ac:dyDescent="0.25">
      <c r="B21" s="74"/>
      <c r="C21" s="118"/>
      <c r="D21" s="199" t="s">
        <v>17</v>
      </c>
      <c r="E21" s="199"/>
      <c r="F21" s="199"/>
      <c r="G21" s="199"/>
      <c r="H21" s="199"/>
    </row>
    <row r="22" spans="2:8" s="165" customFormat="1" ht="48" customHeight="1" x14ac:dyDescent="0.25">
      <c r="B22" s="166"/>
      <c r="C22" s="118"/>
      <c r="D22" s="200" t="s">
        <v>18</v>
      </c>
      <c r="E22" s="200"/>
      <c r="F22" s="200"/>
      <c r="G22" s="200"/>
      <c r="H22" s="200"/>
    </row>
    <row r="23" spans="2:8" x14ac:dyDescent="0.25">
      <c r="B23" s="74"/>
      <c r="C23" s="118"/>
      <c r="D23" s="160"/>
      <c r="E23" s="160"/>
      <c r="F23" s="160"/>
      <c r="G23" s="160"/>
      <c r="H23" s="160"/>
    </row>
    <row r="24" spans="2:8" ht="15.75" x14ac:dyDescent="0.25">
      <c r="B24" s="159" t="s">
        <v>19</v>
      </c>
      <c r="C24" s="161" t="s">
        <v>11</v>
      </c>
      <c r="D24" s="156"/>
      <c r="E24" s="162"/>
      <c r="F24" s="162"/>
      <c r="G24" s="162"/>
      <c r="H24" s="162"/>
    </row>
    <row r="25" spans="2:8" s="165" customFormat="1" ht="38.85" customHeight="1" x14ac:dyDescent="0.25">
      <c r="B25" s="170"/>
      <c r="C25" s="170" t="s">
        <v>20</v>
      </c>
      <c r="D25" s="171"/>
      <c r="E25" s="172"/>
      <c r="F25" s="172"/>
      <c r="G25" s="172"/>
      <c r="H25" s="172"/>
    </row>
    <row r="26" spans="2:8" ht="51.75" customHeight="1" x14ac:dyDescent="0.25">
      <c r="B26" s="156"/>
      <c r="C26" s="163" t="s">
        <v>21</v>
      </c>
      <c r="D26" s="198" t="s">
        <v>22</v>
      </c>
      <c r="E26" s="198"/>
      <c r="F26" s="198"/>
      <c r="G26" s="198"/>
      <c r="H26" s="198"/>
    </row>
    <row r="27" spans="2:8" ht="47.1" customHeight="1" x14ac:dyDescent="0.25">
      <c r="B27" s="156"/>
      <c r="C27" s="163" t="s">
        <v>23</v>
      </c>
      <c r="D27" s="198" t="s">
        <v>24</v>
      </c>
      <c r="E27" s="198"/>
      <c r="F27" s="198"/>
      <c r="G27" s="198"/>
      <c r="H27" s="198"/>
    </row>
    <row r="28" spans="2:8" ht="46.5" customHeight="1" x14ac:dyDescent="0.25">
      <c r="B28" s="156"/>
      <c r="C28" s="164" t="s">
        <v>25</v>
      </c>
      <c r="D28" s="198" t="s">
        <v>26</v>
      </c>
      <c r="E28" s="198"/>
      <c r="F28" s="198"/>
      <c r="G28" s="198"/>
      <c r="H28" s="198"/>
    </row>
    <row r="29" spans="2:8" ht="48.4" customHeight="1" x14ac:dyDescent="0.25">
      <c r="B29" s="156"/>
      <c r="C29" s="164" t="s">
        <v>27</v>
      </c>
      <c r="D29" s="198" t="s">
        <v>28</v>
      </c>
      <c r="E29" s="198"/>
      <c r="F29" s="198"/>
      <c r="G29" s="198"/>
      <c r="H29" s="198"/>
    </row>
  </sheetData>
  <mergeCells count="9">
    <mergeCell ref="E5:H5"/>
    <mergeCell ref="D6:D7"/>
    <mergeCell ref="D20:H20"/>
    <mergeCell ref="D29:H29"/>
    <mergeCell ref="D21:H21"/>
    <mergeCell ref="D22:H22"/>
    <mergeCell ref="D26:H26"/>
    <mergeCell ref="D27:H27"/>
    <mergeCell ref="D28:H28"/>
  </mergeCells>
  <pageMargins left="0.7" right="0.7" top="0.75" bottom="0.75" header="0.3" footer="0.3"/>
  <pageSetup scale="54"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8ECB-AC13-4089-8CA8-488F2FBA062B}">
  <sheetPr>
    <pageSetUpPr fitToPage="1"/>
  </sheetPr>
  <dimension ref="B1:F10"/>
  <sheetViews>
    <sheetView showGridLines="0" view="pageBreakPreview" zoomScale="80" zoomScaleNormal="80" zoomScaleSheetLayoutView="80" workbookViewId="0">
      <selection activeCell="D31" sqref="D31"/>
    </sheetView>
  </sheetViews>
  <sheetFormatPr defaultRowHeight="15" x14ac:dyDescent="0.25"/>
  <cols>
    <col min="1" max="1" width="3.28515625" customWidth="1"/>
    <col min="2" max="2" width="53.42578125" customWidth="1"/>
    <col min="3" max="6" width="13.28515625" customWidth="1"/>
  </cols>
  <sheetData>
    <row r="1" spans="2:6" ht="23.25" x14ac:dyDescent="0.35">
      <c r="B1" s="1" t="s">
        <v>29</v>
      </c>
      <c r="C1" s="2"/>
      <c r="D1" s="2"/>
      <c r="E1" s="2"/>
      <c r="F1" s="2"/>
    </row>
    <row r="2" spans="2:6" x14ac:dyDescent="0.25">
      <c r="B2" s="2"/>
      <c r="C2" s="2"/>
      <c r="D2" s="2"/>
      <c r="E2" s="2"/>
      <c r="F2" s="2"/>
    </row>
    <row r="3" spans="2:6" ht="15.75" thickBot="1" x14ac:dyDescent="0.3">
      <c r="B3" s="2"/>
      <c r="C3" s="2"/>
      <c r="D3" s="2"/>
      <c r="E3" s="2"/>
      <c r="F3" s="2"/>
    </row>
    <row r="4" spans="2:6" x14ac:dyDescent="0.25">
      <c r="B4" s="201" t="s">
        <v>30</v>
      </c>
      <c r="C4" s="202"/>
      <c r="D4" s="202"/>
      <c r="E4" s="202"/>
      <c r="F4" s="203"/>
    </row>
    <row r="5" spans="2:6" x14ac:dyDescent="0.25">
      <c r="B5" s="50"/>
      <c r="C5" s="33"/>
      <c r="D5" s="33"/>
      <c r="E5" s="33"/>
      <c r="F5" s="12"/>
    </row>
    <row r="6" spans="2:6" x14ac:dyDescent="0.25">
      <c r="B6" s="17" t="s">
        <v>31</v>
      </c>
      <c r="C6" s="33" t="s">
        <v>5</v>
      </c>
      <c r="D6" s="33" t="s">
        <v>6</v>
      </c>
      <c r="E6" s="33" t="s">
        <v>7</v>
      </c>
      <c r="F6" s="12" t="s">
        <v>8</v>
      </c>
    </row>
    <row r="7" spans="2:6" x14ac:dyDescent="0.25">
      <c r="B7" s="45" t="s">
        <v>32</v>
      </c>
      <c r="C7" s="25" t="s">
        <v>33</v>
      </c>
      <c r="D7" s="25" t="s">
        <v>34</v>
      </c>
      <c r="E7" s="25" t="s">
        <v>35</v>
      </c>
      <c r="F7" s="24" t="s">
        <v>34</v>
      </c>
    </row>
    <row r="8" spans="2:6" x14ac:dyDescent="0.25">
      <c r="B8" s="9"/>
      <c r="C8" s="2"/>
      <c r="D8" s="2"/>
      <c r="E8" s="2"/>
      <c r="F8" s="8"/>
    </row>
    <row r="9" spans="2:6" x14ac:dyDescent="0.25">
      <c r="B9" s="9" t="s">
        <v>36</v>
      </c>
      <c r="C9" s="116">
        <v>2400</v>
      </c>
      <c r="D9" s="46">
        <f>C9*'Energy Conversion'!E30*'Energy Conversion'!D42*('Efficiency Factors'!F12/'Efficiency Factors'!H12)</f>
        <v>2677.6229106482701</v>
      </c>
      <c r="E9" s="46">
        <f>C9*'Energy Conversion'!E30*'Energy Conversion'!D41*('Efficiency Factors'!F12/'Efficiency Factors'!G12)</f>
        <v>21448.263640607875</v>
      </c>
      <c r="F9" s="47">
        <f>C9*'Energy Conversion'!E30*'Energy Conversion'!D43*('Efficiency Factors'!F12/'Efficiency Factors'!I12)</f>
        <v>3787.5668683054523</v>
      </c>
    </row>
    <row r="10" spans="2:6" ht="15.75" thickBot="1" x14ac:dyDescent="0.3">
      <c r="B10" s="20"/>
      <c r="C10" s="30"/>
      <c r="D10" s="30"/>
      <c r="E10" s="30"/>
      <c r="F10" s="21"/>
    </row>
  </sheetData>
  <mergeCells count="1">
    <mergeCell ref="B4:F4"/>
  </mergeCells>
  <pageMargins left="0.7" right="0.7" top="0.75" bottom="0.75" header="0.3" footer="0.3"/>
  <pageSetup scale="82"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sheetPr>
    <pageSetUpPr fitToPage="1"/>
  </sheetPr>
  <dimension ref="B1:E43"/>
  <sheetViews>
    <sheetView showGridLines="0" view="pageBreakPreview" zoomScale="80" zoomScaleNormal="80" zoomScaleSheetLayoutView="80" workbookViewId="0">
      <selection activeCell="H51" sqref="H51"/>
    </sheetView>
  </sheetViews>
  <sheetFormatPr defaultRowHeight="15" x14ac:dyDescent="0.25"/>
  <cols>
    <col min="1" max="1" width="3.28515625" customWidth="1"/>
    <col min="2" max="2" width="52.7109375" customWidth="1"/>
    <col min="3" max="3" width="24.85546875" customWidth="1"/>
    <col min="4" max="4" width="25.7109375" bestFit="1" customWidth="1"/>
    <col min="5" max="5" width="18.7109375" customWidth="1"/>
  </cols>
  <sheetData>
    <row r="1" spans="2:5" ht="23.25" x14ac:dyDescent="0.35">
      <c r="B1" s="1" t="s">
        <v>37</v>
      </c>
      <c r="C1" s="2"/>
      <c r="D1" s="2"/>
      <c r="E1" s="2"/>
    </row>
    <row r="2" spans="2:5" ht="23.25" x14ac:dyDescent="0.35">
      <c r="B2" s="1"/>
      <c r="C2" s="2"/>
      <c r="D2" s="2"/>
      <c r="E2" s="2"/>
    </row>
    <row r="3" spans="2:5" ht="15.75" thickBot="1" x14ac:dyDescent="0.3">
      <c r="B3" s="2"/>
      <c r="C3" s="2"/>
      <c r="D3" s="2"/>
      <c r="E3" s="2"/>
    </row>
    <row r="4" spans="2:5" x14ac:dyDescent="0.25">
      <c r="B4" s="201" t="s">
        <v>38</v>
      </c>
      <c r="C4" s="202"/>
      <c r="D4" s="202"/>
      <c r="E4" s="203"/>
    </row>
    <row r="5" spans="2:5" x14ac:dyDescent="0.25">
      <c r="B5" s="9"/>
      <c r="C5" s="2"/>
      <c r="D5" s="2"/>
      <c r="E5" s="8"/>
    </row>
    <row r="6" spans="2:5" x14ac:dyDescent="0.25">
      <c r="B6" s="26" t="s">
        <v>39</v>
      </c>
      <c r="C6" s="27" t="s">
        <v>40</v>
      </c>
      <c r="D6" s="207" t="s">
        <v>41</v>
      </c>
      <c r="E6" s="208"/>
    </row>
    <row r="7" spans="2:5" x14ac:dyDescent="0.25">
      <c r="B7" s="9" t="s">
        <v>42</v>
      </c>
      <c r="C7" s="33">
        <v>277.77780000000001</v>
      </c>
      <c r="D7" s="44" t="s">
        <v>43</v>
      </c>
      <c r="E7" s="29"/>
    </row>
    <row r="8" spans="2:5" x14ac:dyDescent="0.25">
      <c r="B8" s="9" t="s">
        <v>44</v>
      </c>
      <c r="C8" s="33">
        <v>3.5999999999999999E-3</v>
      </c>
      <c r="D8" s="44" t="s">
        <v>45</v>
      </c>
      <c r="E8" s="29"/>
    </row>
    <row r="9" spans="2:5" x14ac:dyDescent="0.25">
      <c r="B9" s="9"/>
      <c r="C9" s="2"/>
      <c r="D9" s="2"/>
      <c r="E9" s="8"/>
    </row>
    <row r="10" spans="2:5" x14ac:dyDescent="0.25">
      <c r="B10" s="7" t="s">
        <v>46</v>
      </c>
      <c r="C10" s="2"/>
      <c r="D10" s="2"/>
      <c r="E10" s="8"/>
    </row>
    <row r="11" spans="2:5" ht="15.75" thickBot="1" x14ac:dyDescent="0.3">
      <c r="B11" s="119" t="s">
        <v>47</v>
      </c>
      <c r="C11" s="30"/>
      <c r="D11" s="30"/>
      <c r="E11" s="21"/>
    </row>
    <row r="12" spans="2:5" x14ac:dyDescent="0.25">
      <c r="B12" s="2"/>
      <c r="C12" s="31"/>
      <c r="D12" s="31"/>
      <c r="E12" s="31"/>
    </row>
    <row r="13" spans="2:5" ht="15.75" thickBot="1" x14ac:dyDescent="0.3">
      <c r="B13" s="2"/>
      <c r="C13" s="2"/>
      <c r="D13" s="2"/>
      <c r="E13" s="2"/>
    </row>
    <row r="14" spans="2:5" x14ac:dyDescent="0.25">
      <c r="B14" s="201" t="s">
        <v>48</v>
      </c>
      <c r="C14" s="202"/>
      <c r="D14" s="202"/>
      <c r="E14" s="203"/>
    </row>
    <row r="15" spans="2:5" x14ac:dyDescent="0.25">
      <c r="B15" s="9"/>
      <c r="C15" s="2"/>
      <c r="D15" s="2"/>
      <c r="E15" s="8"/>
    </row>
    <row r="16" spans="2:5" x14ac:dyDescent="0.25">
      <c r="B16" s="26" t="s">
        <v>49</v>
      </c>
      <c r="C16" s="25" t="s">
        <v>39</v>
      </c>
      <c r="D16" s="32" t="s">
        <v>40</v>
      </c>
      <c r="E16" s="24" t="s">
        <v>41</v>
      </c>
    </row>
    <row r="17" spans="2:5" x14ac:dyDescent="0.25">
      <c r="B17" s="9" t="s">
        <v>6</v>
      </c>
      <c r="C17" s="33" t="s">
        <v>50</v>
      </c>
      <c r="D17" s="33">
        <v>36.72</v>
      </c>
      <c r="E17" s="12" t="s">
        <v>51</v>
      </c>
    </row>
    <row r="18" spans="2:5" x14ac:dyDescent="0.25">
      <c r="B18" s="9" t="s">
        <v>8</v>
      </c>
      <c r="C18" s="33" t="s">
        <v>50</v>
      </c>
      <c r="D18" s="33">
        <v>25.53</v>
      </c>
      <c r="E18" s="12" t="s">
        <v>51</v>
      </c>
    </row>
    <row r="19" spans="2:5" x14ac:dyDescent="0.25">
      <c r="B19" s="9"/>
      <c r="C19" s="2"/>
      <c r="D19" s="2"/>
      <c r="E19" s="8"/>
    </row>
    <row r="20" spans="2:5" x14ac:dyDescent="0.25">
      <c r="B20" s="7" t="s">
        <v>46</v>
      </c>
      <c r="C20" s="2"/>
      <c r="D20" s="2"/>
      <c r="E20" s="8"/>
    </row>
    <row r="21" spans="2:5" ht="15.75" thickBot="1" x14ac:dyDescent="0.3">
      <c r="B21" s="119" t="s">
        <v>47</v>
      </c>
      <c r="C21" s="34"/>
      <c r="D21" s="34"/>
      <c r="E21" s="35"/>
    </row>
    <row r="22" spans="2:5" x14ac:dyDescent="0.25">
      <c r="B22" s="36"/>
      <c r="C22" s="31"/>
      <c r="D22" s="31"/>
      <c r="E22" s="31"/>
    </row>
    <row r="23" spans="2:5" x14ac:dyDescent="0.25">
      <c r="B23" s="36"/>
      <c r="C23" s="31"/>
      <c r="D23" s="31"/>
      <c r="E23" s="31"/>
    </row>
    <row r="24" spans="2:5" ht="15.75" thickBot="1" x14ac:dyDescent="0.3"/>
    <row r="25" spans="2:5" x14ac:dyDescent="0.25">
      <c r="B25" s="201" t="s">
        <v>52</v>
      </c>
      <c r="C25" s="202"/>
      <c r="D25" s="202"/>
      <c r="E25" s="203"/>
    </row>
    <row r="26" spans="2:5" x14ac:dyDescent="0.25">
      <c r="B26" s="204" t="s">
        <v>53</v>
      </c>
      <c r="C26" s="205"/>
      <c r="D26" s="205"/>
      <c r="E26" s="206"/>
    </row>
    <row r="27" spans="2:5" x14ac:dyDescent="0.25">
      <c r="B27" s="9"/>
      <c r="C27" s="2"/>
      <c r="D27" s="2"/>
      <c r="E27" s="8"/>
    </row>
    <row r="28" spans="2:5" x14ac:dyDescent="0.25">
      <c r="B28" s="37"/>
      <c r="C28" s="27"/>
      <c r="D28" s="32"/>
      <c r="E28" s="24" t="s">
        <v>54</v>
      </c>
    </row>
    <row r="29" spans="2:5" ht="17.25" x14ac:dyDescent="0.25">
      <c r="B29" s="38" t="s">
        <v>55</v>
      </c>
      <c r="C29" s="33"/>
      <c r="D29" s="39"/>
      <c r="E29" s="40">
        <v>38.53</v>
      </c>
    </row>
    <row r="30" spans="2:5" ht="17.25" x14ac:dyDescent="0.25">
      <c r="B30" s="9" t="s">
        <v>56</v>
      </c>
      <c r="C30" s="33"/>
      <c r="D30" s="33"/>
      <c r="E30" s="12">
        <f>E29/1000</f>
        <v>3.8530000000000002E-2</v>
      </c>
    </row>
    <row r="31" spans="2:5" x14ac:dyDescent="0.25">
      <c r="B31" s="9"/>
      <c r="C31" s="2"/>
      <c r="D31" s="2"/>
      <c r="E31" s="8"/>
    </row>
    <row r="32" spans="2:5" x14ac:dyDescent="0.25">
      <c r="B32" s="7" t="s">
        <v>57</v>
      </c>
      <c r="C32" s="2"/>
      <c r="D32" s="2"/>
      <c r="E32" s="8"/>
    </row>
    <row r="33" spans="2:5" ht="18" thickBot="1" x14ac:dyDescent="0.3">
      <c r="B33" s="20" t="s">
        <v>58</v>
      </c>
      <c r="C33" s="30"/>
      <c r="D33" s="30"/>
      <c r="E33" s="21"/>
    </row>
    <row r="36" spans="2:5" ht="15.75" thickBot="1" x14ac:dyDescent="0.3"/>
    <row r="37" spans="2:5" x14ac:dyDescent="0.25">
      <c r="B37" s="201" t="s">
        <v>59</v>
      </c>
      <c r="C37" s="202"/>
      <c r="D37" s="202"/>
      <c r="E37" s="203"/>
    </row>
    <row r="38" spans="2:5" x14ac:dyDescent="0.25">
      <c r="B38" s="204" t="s">
        <v>60</v>
      </c>
      <c r="C38" s="205"/>
      <c r="D38" s="205"/>
      <c r="E38" s="206"/>
    </row>
    <row r="39" spans="2:5" x14ac:dyDescent="0.25">
      <c r="B39" s="9"/>
      <c r="C39" s="2"/>
      <c r="D39" s="2"/>
      <c r="E39" s="8"/>
    </row>
    <row r="40" spans="2:5" x14ac:dyDescent="0.25">
      <c r="B40" s="37" t="s">
        <v>49</v>
      </c>
      <c r="C40" s="32" t="s">
        <v>61</v>
      </c>
      <c r="D40" s="25" t="s">
        <v>62</v>
      </c>
      <c r="E40" s="41" t="s">
        <v>63</v>
      </c>
    </row>
    <row r="41" spans="2:5" x14ac:dyDescent="0.25">
      <c r="B41" s="9" t="s">
        <v>7</v>
      </c>
      <c r="C41" s="33" t="s">
        <v>64</v>
      </c>
      <c r="D41" s="33">
        <f>1/C8</f>
        <v>277.77777777777777</v>
      </c>
      <c r="E41" s="12" t="s">
        <v>35</v>
      </c>
    </row>
    <row r="42" spans="2:5" x14ac:dyDescent="0.25">
      <c r="B42" s="9" t="s">
        <v>6</v>
      </c>
      <c r="C42" s="33" t="s">
        <v>64</v>
      </c>
      <c r="D42" s="33">
        <f>1/(D17/1000)</f>
        <v>27.23311546840959</v>
      </c>
      <c r="E42" s="12" t="s">
        <v>34</v>
      </c>
    </row>
    <row r="43" spans="2:5" ht="15.75" thickBot="1" x14ac:dyDescent="0.3">
      <c r="B43" s="20" t="s">
        <v>8</v>
      </c>
      <c r="C43" s="42" t="s">
        <v>64</v>
      </c>
      <c r="D43" s="42">
        <f>1/(D18/1000)</f>
        <v>39.169604386995694</v>
      </c>
      <c r="E43" s="43" t="s">
        <v>34</v>
      </c>
    </row>
  </sheetData>
  <mergeCells count="7">
    <mergeCell ref="B38:E38"/>
    <mergeCell ref="B37:E37"/>
    <mergeCell ref="B4:E4"/>
    <mergeCell ref="D6:E6"/>
    <mergeCell ref="B14:E14"/>
    <mergeCell ref="B25:E25"/>
    <mergeCell ref="B26:E26"/>
  </mergeCells>
  <hyperlinks>
    <hyperlink ref="B11" r:id="rId1" display="https://apps.cer-rec.gc.ca/Conversion/conversion-tables.aspx?GoCTemplateCulture=en-CA" xr:uid="{BEF8296B-BE11-4BE1-80AC-D6F08B0F5D9A}"/>
    <hyperlink ref="B21" r:id="rId2" display="https://apps.cer-rec.gc.ca/Conversion/conversion-tables.aspx?GoCTemplateCulture=en-CA" xr:uid="{1EDCBC3B-DE63-4387-AE05-10DF5822F0A9}"/>
  </hyperlinks>
  <pageMargins left="0.7" right="0.7" top="0.75" bottom="0.75" header="0.3" footer="0.3"/>
  <pageSetup scale="72" orientation="portrait" r:id="rId3"/>
  <customProperties>
    <customPr name="EpmWorksheetKeyString_GUID"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E552-4E3E-4F99-903F-18166049CDF2}">
  <sheetPr>
    <pageSetUpPr fitToPage="1"/>
  </sheetPr>
  <dimension ref="B1:I14"/>
  <sheetViews>
    <sheetView showGridLines="0" view="pageBreakPreview" zoomScale="80" zoomScaleNormal="80" zoomScaleSheetLayoutView="80" workbookViewId="0">
      <selection activeCell="I10" sqref="I10"/>
    </sheetView>
  </sheetViews>
  <sheetFormatPr defaultRowHeight="15" x14ac:dyDescent="0.25"/>
  <cols>
    <col min="1" max="1" width="3.28515625" customWidth="1"/>
    <col min="2" max="2" width="37.7109375" customWidth="1"/>
    <col min="3" max="3" width="12.7109375" customWidth="1"/>
    <col min="5" max="5" width="30.7109375" customWidth="1"/>
    <col min="6" max="6" width="12.28515625" customWidth="1"/>
    <col min="7" max="7" width="10.7109375" customWidth="1"/>
    <col min="8" max="8" width="11.7109375" customWidth="1"/>
    <col min="9" max="9" width="12.85546875" customWidth="1"/>
  </cols>
  <sheetData>
    <row r="1" spans="2:9" ht="23.25" x14ac:dyDescent="0.35">
      <c r="B1" s="1" t="s">
        <v>65</v>
      </c>
      <c r="C1" s="2"/>
      <c r="D1" s="2"/>
      <c r="E1" s="2"/>
      <c r="F1" s="2"/>
      <c r="G1" s="2"/>
      <c r="H1" s="2"/>
      <c r="I1" s="2"/>
    </row>
    <row r="2" spans="2:9" ht="15.75" thickBot="1" x14ac:dyDescent="0.3">
      <c r="B2" s="2"/>
      <c r="C2" s="2"/>
      <c r="D2" s="2"/>
      <c r="E2" s="2"/>
      <c r="F2" s="2"/>
      <c r="G2" s="2"/>
      <c r="H2" s="2"/>
      <c r="I2" s="2"/>
    </row>
    <row r="3" spans="2:9" x14ac:dyDescent="0.25">
      <c r="B3" s="201" t="s">
        <v>30</v>
      </c>
      <c r="C3" s="203"/>
      <c r="D3" s="2"/>
      <c r="E3" s="201" t="s">
        <v>66</v>
      </c>
      <c r="F3" s="202"/>
      <c r="G3" s="202"/>
      <c r="H3" s="202"/>
      <c r="I3" s="203"/>
    </row>
    <row r="4" spans="2:9" x14ac:dyDescent="0.25">
      <c r="B4" s="209" t="s">
        <v>67</v>
      </c>
      <c r="C4" s="210"/>
      <c r="D4" s="2"/>
      <c r="E4" s="209" t="s">
        <v>68</v>
      </c>
      <c r="F4" s="211"/>
      <c r="G4" s="211"/>
      <c r="H4" s="211"/>
      <c r="I4" s="210"/>
    </row>
    <row r="5" spans="2:9" x14ac:dyDescent="0.25">
      <c r="B5" s="4"/>
      <c r="C5" s="5"/>
      <c r="D5" s="2"/>
      <c r="E5" s="4"/>
      <c r="F5" s="6"/>
      <c r="G5" s="6"/>
      <c r="H5" s="6"/>
      <c r="I5" s="5"/>
    </row>
    <row r="6" spans="2:9" x14ac:dyDescent="0.25">
      <c r="B6" s="7" t="s">
        <v>69</v>
      </c>
      <c r="C6" s="8"/>
      <c r="D6" s="2"/>
      <c r="E6" s="9"/>
      <c r="F6" s="6" t="s">
        <v>5</v>
      </c>
      <c r="G6" s="6" t="s">
        <v>7</v>
      </c>
      <c r="H6" s="6" t="s">
        <v>6</v>
      </c>
      <c r="I6" s="5" t="s">
        <v>8</v>
      </c>
    </row>
    <row r="7" spans="2:9" x14ac:dyDescent="0.25">
      <c r="B7" s="10" t="s">
        <v>70</v>
      </c>
      <c r="C7" s="11">
        <v>0.7</v>
      </c>
      <c r="D7" s="2"/>
      <c r="E7" s="9"/>
      <c r="F7" s="6"/>
      <c r="G7" s="6"/>
      <c r="H7" s="6"/>
      <c r="I7" s="5"/>
    </row>
    <row r="8" spans="2:9" x14ac:dyDescent="0.25">
      <c r="B8" s="9"/>
      <c r="C8" s="12"/>
      <c r="D8" s="2"/>
      <c r="E8" s="7"/>
      <c r="F8" s="13"/>
      <c r="G8" s="13"/>
      <c r="H8" s="13"/>
      <c r="I8" s="14"/>
    </row>
    <row r="9" spans="2:9" x14ac:dyDescent="0.25">
      <c r="B9" s="7" t="s">
        <v>71</v>
      </c>
      <c r="C9" s="12"/>
      <c r="D9" s="2"/>
      <c r="E9" s="15" t="s">
        <v>70</v>
      </c>
      <c r="F9" s="16">
        <v>0.89239450407345144</v>
      </c>
      <c r="G9" s="16">
        <v>1</v>
      </c>
      <c r="H9" s="16">
        <v>0.83666666666666656</v>
      </c>
      <c r="I9" s="11">
        <v>0.84058826458036995</v>
      </c>
    </row>
    <row r="10" spans="2:9" x14ac:dyDescent="0.25">
      <c r="B10" s="10" t="s">
        <v>72</v>
      </c>
      <c r="C10" s="11">
        <v>0.3</v>
      </c>
      <c r="D10" s="2"/>
      <c r="E10" s="15" t="s">
        <v>72</v>
      </c>
      <c r="F10" s="176">
        <v>0.68459999999999999</v>
      </c>
      <c r="G10" s="16">
        <v>0.98027999999999993</v>
      </c>
      <c r="H10" s="16">
        <v>0.65</v>
      </c>
      <c r="I10" s="11">
        <v>0.68459999999999999</v>
      </c>
    </row>
    <row r="11" spans="2:9" x14ac:dyDescent="0.25">
      <c r="B11" s="9"/>
      <c r="C11" s="12"/>
      <c r="D11" s="2"/>
      <c r="E11" s="17"/>
      <c r="F11" s="2"/>
      <c r="G11" s="2"/>
      <c r="H11" s="2"/>
      <c r="I11" s="8"/>
    </row>
    <row r="12" spans="2:9" x14ac:dyDescent="0.25">
      <c r="B12" s="9" t="s">
        <v>73</v>
      </c>
      <c r="C12" s="18">
        <f>SUM(C7:C10)</f>
        <v>1</v>
      </c>
      <c r="D12" s="2"/>
      <c r="E12" s="15" t="s">
        <v>74</v>
      </c>
      <c r="F12" s="19">
        <f>$C$7*F9+$C$10*F10</f>
        <v>0.83005615285141598</v>
      </c>
      <c r="G12" s="19">
        <f>$C$7*G9+$C$10*G10</f>
        <v>0.99408399999999997</v>
      </c>
      <c r="H12" s="19">
        <f>$C$7*H9+$C$10*H10</f>
        <v>0.78066666666666662</v>
      </c>
      <c r="I12" s="18">
        <f>$C$7*I9+$C$10*I10</f>
        <v>0.79379178520625893</v>
      </c>
    </row>
    <row r="13" spans="2:9" ht="15.75" thickBot="1" x14ac:dyDescent="0.3">
      <c r="B13" s="20"/>
      <c r="C13" s="21"/>
      <c r="D13" s="2"/>
      <c r="E13" s="20"/>
      <c r="F13" s="22"/>
      <c r="G13" s="22"/>
      <c r="H13" s="22"/>
      <c r="I13" s="23"/>
    </row>
    <row r="14" spans="2:9" x14ac:dyDescent="0.25">
      <c r="B14" s="2"/>
      <c r="C14" s="2"/>
      <c r="D14" s="2"/>
      <c r="E14" s="2"/>
      <c r="F14" s="2"/>
      <c r="G14" s="2"/>
      <c r="H14" s="2"/>
      <c r="I14" s="2"/>
    </row>
  </sheetData>
  <mergeCells count="4">
    <mergeCell ref="B3:C3"/>
    <mergeCell ref="E3:I3"/>
    <mergeCell ref="B4:C4"/>
    <mergeCell ref="E4:I4"/>
  </mergeCells>
  <pageMargins left="0.7" right="0.7" top="0.75" bottom="0.75" header="0.3" footer="0.3"/>
  <pageSetup scale="86"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sheetPr>
    <pageSetUpPr fitToPage="1"/>
  </sheetPr>
  <dimension ref="B1:E31"/>
  <sheetViews>
    <sheetView showGridLines="0" view="pageBreakPreview" zoomScale="80" zoomScaleNormal="80" zoomScaleSheetLayoutView="80" workbookViewId="0">
      <selection activeCell="J21" sqref="J21:K21"/>
    </sheetView>
  </sheetViews>
  <sheetFormatPr defaultRowHeight="15" x14ac:dyDescent="0.25"/>
  <cols>
    <col min="1" max="1" width="3.28515625" customWidth="1"/>
    <col min="2" max="2" width="33.7109375" customWidth="1"/>
    <col min="3" max="3" width="13.28515625" customWidth="1"/>
    <col min="4" max="4" width="12.5703125" customWidth="1"/>
    <col min="5" max="5" width="12.28515625" customWidth="1"/>
  </cols>
  <sheetData>
    <row r="1" spans="2:5" ht="23.25" x14ac:dyDescent="0.35">
      <c r="B1" s="48" t="s">
        <v>75</v>
      </c>
      <c r="C1" s="49"/>
      <c r="D1" s="49"/>
    </row>
    <row r="2" spans="2:5" ht="24" thickBot="1" x14ac:dyDescent="0.4">
      <c r="B2" s="1"/>
      <c r="C2" s="49"/>
      <c r="D2" s="49"/>
    </row>
    <row r="3" spans="2:5" x14ac:dyDescent="0.25">
      <c r="B3" s="201" t="s">
        <v>30</v>
      </c>
      <c r="C3" s="202"/>
      <c r="D3" s="202"/>
      <c r="E3" s="203"/>
    </row>
    <row r="4" spans="2:5" x14ac:dyDescent="0.25">
      <c r="B4" s="212" t="s">
        <v>76</v>
      </c>
      <c r="C4" s="213"/>
      <c r="D4" s="213"/>
      <c r="E4" s="214"/>
    </row>
    <row r="5" spans="2:5" x14ac:dyDescent="0.25">
      <c r="B5" s="212" t="s">
        <v>77</v>
      </c>
      <c r="C5" s="213"/>
      <c r="D5" s="213"/>
      <c r="E5" s="214"/>
    </row>
    <row r="6" spans="2:5" x14ac:dyDescent="0.25">
      <c r="B6" s="3"/>
      <c r="C6" s="25"/>
      <c r="D6" s="25"/>
      <c r="E6" s="24"/>
    </row>
    <row r="7" spans="2:5" x14ac:dyDescent="0.25">
      <c r="B7" s="50"/>
      <c r="C7" s="33"/>
      <c r="D7" s="33"/>
      <c r="E7" s="12"/>
    </row>
    <row r="8" spans="2:5" x14ac:dyDescent="0.25">
      <c r="B8" s="79" t="s">
        <v>78</v>
      </c>
      <c r="C8" s="94" t="s">
        <v>79</v>
      </c>
      <c r="D8" s="93"/>
      <c r="E8" s="95"/>
    </row>
    <row r="9" spans="2:5" x14ac:dyDescent="0.25">
      <c r="B9" s="9"/>
      <c r="C9" s="2"/>
      <c r="D9" s="2"/>
      <c r="E9" s="8"/>
    </row>
    <row r="10" spans="2:5" x14ac:dyDescent="0.25">
      <c r="B10" s="9" t="s">
        <v>80</v>
      </c>
      <c r="C10" s="33" t="s">
        <v>33</v>
      </c>
      <c r="E10" s="51">
        <v>2400</v>
      </c>
    </row>
    <row r="11" spans="2:5" x14ac:dyDescent="0.25">
      <c r="B11" s="9"/>
      <c r="C11" s="33"/>
      <c r="D11" s="2"/>
      <c r="E11" s="52"/>
    </row>
    <row r="12" spans="2:5" x14ac:dyDescent="0.25">
      <c r="B12" s="53" t="s">
        <v>81</v>
      </c>
      <c r="C12" s="33" t="s">
        <v>82</v>
      </c>
      <c r="D12" s="96"/>
      <c r="E12" s="56">
        <v>274.56</v>
      </c>
    </row>
    <row r="13" spans="2:5" x14ac:dyDescent="0.25">
      <c r="B13" s="53" t="s">
        <v>83</v>
      </c>
      <c r="C13" s="33" t="s">
        <v>82</v>
      </c>
      <c r="D13" s="96"/>
      <c r="E13" s="56">
        <v>227.5</v>
      </c>
    </row>
    <row r="14" spans="2:5" x14ac:dyDescent="0.25">
      <c r="B14" s="53" t="s">
        <v>84</v>
      </c>
      <c r="C14" s="33" t="s">
        <v>82</v>
      </c>
      <c r="D14" s="96"/>
      <c r="E14" s="56">
        <v>33.81</v>
      </c>
    </row>
    <row r="15" spans="2:5" x14ac:dyDescent="0.25">
      <c r="B15" s="53" t="s">
        <v>85</v>
      </c>
      <c r="C15" s="33" t="s">
        <v>82</v>
      </c>
      <c r="D15" s="96"/>
      <c r="E15" s="56">
        <v>102.49</v>
      </c>
    </row>
    <row r="16" spans="2:5" x14ac:dyDescent="0.25">
      <c r="B16" s="53" t="s">
        <v>86</v>
      </c>
      <c r="C16" s="33" t="s">
        <v>82</v>
      </c>
      <c r="D16" s="96"/>
      <c r="E16" s="56">
        <v>285.77</v>
      </c>
    </row>
    <row r="17" spans="2:5" x14ac:dyDescent="0.25">
      <c r="B17" s="53" t="s">
        <v>87</v>
      </c>
      <c r="C17" s="33" t="s">
        <v>82</v>
      </c>
      <c r="D17" s="96"/>
      <c r="E17" s="56">
        <v>297.36</v>
      </c>
    </row>
    <row r="18" spans="2:5" x14ac:dyDescent="0.25">
      <c r="B18" s="53" t="s">
        <v>88</v>
      </c>
      <c r="C18" s="33" t="s">
        <v>82</v>
      </c>
      <c r="D18" s="97"/>
      <c r="E18" s="57"/>
    </row>
    <row r="19" spans="2:5" x14ac:dyDescent="0.25">
      <c r="B19" s="54" t="s">
        <v>89</v>
      </c>
      <c r="C19" s="33" t="s">
        <v>82</v>
      </c>
      <c r="D19" s="97">
        <v>92.8</v>
      </c>
      <c r="E19" s="57"/>
    </row>
    <row r="20" spans="2:5" x14ac:dyDescent="0.25">
      <c r="B20" s="54" t="s">
        <v>85</v>
      </c>
      <c r="C20" s="33" t="s">
        <v>82</v>
      </c>
      <c r="D20" s="97">
        <v>1</v>
      </c>
      <c r="E20" s="57"/>
    </row>
    <row r="21" spans="2:5" x14ac:dyDescent="0.25">
      <c r="B21" s="54" t="s">
        <v>90</v>
      </c>
      <c r="C21" s="33" t="s">
        <v>82</v>
      </c>
      <c r="D21" s="58">
        <v>-15.24</v>
      </c>
      <c r="E21" s="59">
        <f>SUM(D19:D21)</f>
        <v>78.56</v>
      </c>
    </row>
    <row r="22" spans="2:5" x14ac:dyDescent="0.25">
      <c r="B22" s="53"/>
      <c r="C22" s="33"/>
      <c r="D22" s="97"/>
      <c r="E22" s="57"/>
    </row>
    <row r="23" spans="2:5" x14ac:dyDescent="0.25">
      <c r="B23" s="53" t="s">
        <v>91</v>
      </c>
      <c r="C23" s="33" t="s">
        <v>82</v>
      </c>
      <c r="D23" s="97"/>
      <c r="E23" s="59">
        <v>1300.04</v>
      </c>
    </row>
    <row r="24" spans="2:5" x14ac:dyDescent="0.25">
      <c r="B24" s="53"/>
      <c r="C24" s="2"/>
      <c r="D24" s="97"/>
      <c r="E24" s="57"/>
    </row>
    <row r="25" spans="2:5" x14ac:dyDescent="0.25">
      <c r="B25" s="53" t="s">
        <v>92</v>
      </c>
      <c r="C25" s="33" t="s">
        <v>82</v>
      </c>
      <c r="D25" s="97"/>
      <c r="E25" s="59">
        <f>ROUND(E23/E10,4)</f>
        <v>0.54169999999999996</v>
      </c>
    </row>
    <row r="26" spans="2:5" x14ac:dyDescent="0.25">
      <c r="B26" s="9" t="s">
        <v>93</v>
      </c>
      <c r="C26" s="33" t="s">
        <v>82</v>
      </c>
      <c r="D26" s="97"/>
      <c r="E26" s="59">
        <v>0.23</v>
      </c>
    </row>
    <row r="27" spans="2:5" x14ac:dyDescent="0.25">
      <c r="B27" s="53" t="s">
        <v>94</v>
      </c>
      <c r="C27" s="33" t="s">
        <v>82</v>
      </c>
      <c r="D27" s="97"/>
      <c r="E27" s="173">
        <f>E25+E26</f>
        <v>0.77169999999999994</v>
      </c>
    </row>
    <row r="28" spans="2:5" ht="15.75" thickBot="1" x14ac:dyDescent="0.3">
      <c r="B28" s="20"/>
      <c r="C28" s="30"/>
      <c r="D28" s="30"/>
      <c r="E28" s="55"/>
    </row>
    <row r="29" spans="2:5" x14ac:dyDescent="0.25">
      <c r="C29" s="2"/>
      <c r="D29" s="2"/>
      <c r="E29" s="2"/>
    </row>
    <row r="30" spans="2:5" x14ac:dyDescent="0.25">
      <c r="B30" s="73" t="s">
        <v>95</v>
      </c>
      <c r="C30" s="2"/>
      <c r="D30" s="2"/>
      <c r="E30" s="2"/>
    </row>
    <row r="31" spans="2:5" x14ac:dyDescent="0.25">
      <c r="B31" s="2" t="s">
        <v>96</v>
      </c>
    </row>
  </sheetData>
  <mergeCells count="3">
    <mergeCell ref="B3:E3"/>
    <mergeCell ref="B4:E4"/>
    <mergeCell ref="B5:E5"/>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sheetPr>
    <pageSetUpPr fitToPage="1"/>
  </sheetPr>
  <dimension ref="B1:F26"/>
  <sheetViews>
    <sheetView showGridLines="0" view="pageBreakPreview" zoomScale="80" zoomScaleNormal="80" zoomScaleSheetLayoutView="80" workbookViewId="0">
      <selection activeCell="C21" sqref="C21"/>
    </sheetView>
  </sheetViews>
  <sheetFormatPr defaultRowHeight="15" x14ac:dyDescent="0.25"/>
  <cols>
    <col min="1" max="1" width="3.28515625" customWidth="1"/>
    <col min="2" max="2" width="11.28515625" customWidth="1"/>
    <col min="3" max="3" width="21.140625" customWidth="1"/>
    <col min="4" max="4" width="14.42578125" customWidth="1"/>
    <col min="5" max="5" width="17.5703125" customWidth="1"/>
    <col min="6" max="6" width="19.28515625" customWidth="1"/>
  </cols>
  <sheetData>
    <row r="1" spans="2:6" ht="23.25" x14ac:dyDescent="0.35">
      <c r="B1" s="1" t="s">
        <v>97</v>
      </c>
      <c r="C1" s="60"/>
      <c r="D1" s="1"/>
      <c r="E1" s="1"/>
      <c r="F1" s="1"/>
    </row>
    <row r="2" spans="2:6" ht="24" thickBot="1" x14ac:dyDescent="0.4">
      <c r="B2" s="1"/>
      <c r="C2" s="60"/>
      <c r="D2" s="1"/>
      <c r="E2" s="1"/>
      <c r="F2" s="1"/>
    </row>
    <row r="3" spans="2:6" x14ac:dyDescent="0.25">
      <c r="B3" s="201" t="s">
        <v>30</v>
      </c>
      <c r="C3" s="202"/>
      <c r="D3" s="202"/>
      <c r="E3" s="202"/>
      <c r="F3" s="203"/>
    </row>
    <row r="4" spans="2:6" x14ac:dyDescent="0.25">
      <c r="B4" s="204" t="s">
        <v>98</v>
      </c>
      <c r="C4" s="205"/>
      <c r="D4" s="205"/>
      <c r="E4" s="205"/>
      <c r="F4" s="206"/>
    </row>
    <row r="5" spans="2:6" x14ac:dyDescent="0.25">
      <c r="B5" s="204"/>
      <c r="C5" s="205"/>
      <c r="D5" s="205"/>
      <c r="E5" s="205"/>
      <c r="F5" s="206"/>
    </row>
    <row r="6" spans="2:6" ht="57.75" x14ac:dyDescent="0.25">
      <c r="B6" s="45" t="s">
        <v>99</v>
      </c>
      <c r="C6" s="32" t="s">
        <v>100</v>
      </c>
      <c r="D6" s="32" t="s">
        <v>101</v>
      </c>
      <c r="E6" s="32" t="s">
        <v>102</v>
      </c>
      <c r="F6" s="41" t="s">
        <v>103</v>
      </c>
    </row>
    <row r="7" spans="2:6" x14ac:dyDescent="0.25">
      <c r="B7" s="61">
        <v>44927</v>
      </c>
      <c r="C7" s="62">
        <v>13.41</v>
      </c>
      <c r="D7" s="33">
        <v>221.6</v>
      </c>
      <c r="E7" s="39">
        <f>D7/1.13</f>
        <v>196.10619469026551</v>
      </c>
      <c r="F7" s="40">
        <f>E7-$C7</f>
        <v>182.69619469026551</v>
      </c>
    </row>
    <row r="8" spans="2:6" x14ac:dyDescent="0.25">
      <c r="B8" s="61">
        <v>44958</v>
      </c>
      <c r="C8" s="62">
        <v>13.41</v>
      </c>
      <c r="D8" s="33">
        <v>196.9</v>
      </c>
      <c r="E8" s="39">
        <f t="shared" ref="E8:E10" si="0">D8/1.13</f>
        <v>174.2477876106195</v>
      </c>
      <c r="F8" s="40">
        <f t="shared" ref="F8:F10" si="1">E8-$C8</f>
        <v>160.8377876106195</v>
      </c>
    </row>
    <row r="9" spans="2:6" x14ac:dyDescent="0.25">
      <c r="B9" s="61">
        <v>44986</v>
      </c>
      <c r="C9" s="62">
        <v>13.41</v>
      </c>
      <c r="D9" s="33">
        <v>186.5</v>
      </c>
      <c r="E9" s="39">
        <f t="shared" si="0"/>
        <v>165.04424778761063</v>
      </c>
      <c r="F9" s="40">
        <f t="shared" si="1"/>
        <v>151.63424778761063</v>
      </c>
    </row>
    <row r="10" spans="2:6" x14ac:dyDescent="0.25">
      <c r="B10" s="61">
        <v>45017</v>
      </c>
      <c r="C10" s="62">
        <v>17.380000000000003</v>
      </c>
      <c r="D10" s="33">
        <v>184.5</v>
      </c>
      <c r="E10" s="39">
        <f t="shared" si="0"/>
        <v>163.27433628318585</v>
      </c>
      <c r="F10" s="40">
        <f t="shared" si="1"/>
        <v>145.89433628318585</v>
      </c>
    </row>
    <row r="11" spans="2:6" x14ac:dyDescent="0.25">
      <c r="B11" s="61">
        <v>45047</v>
      </c>
      <c r="C11" s="62"/>
      <c r="D11" s="33"/>
      <c r="E11" s="39"/>
      <c r="F11" s="40"/>
    </row>
    <row r="12" spans="2:6" x14ac:dyDescent="0.25">
      <c r="B12" s="61">
        <v>45078</v>
      </c>
      <c r="C12" s="62"/>
      <c r="D12" s="33"/>
      <c r="E12" s="39"/>
      <c r="F12" s="40"/>
    </row>
    <row r="13" spans="2:6" x14ac:dyDescent="0.25">
      <c r="B13" s="61">
        <v>45108</v>
      </c>
      <c r="C13" s="62"/>
      <c r="D13" s="33"/>
      <c r="E13" s="39"/>
      <c r="F13" s="40"/>
    </row>
    <row r="14" spans="2:6" x14ac:dyDescent="0.25">
      <c r="B14" s="61">
        <v>45139</v>
      </c>
      <c r="C14" s="62"/>
      <c r="D14" s="33"/>
      <c r="E14" s="39"/>
      <c r="F14" s="40"/>
    </row>
    <row r="15" spans="2:6" x14ac:dyDescent="0.25">
      <c r="B15" s="61">
        <v>45170</v>
      </c>
      <c r="C15" s="62"/>
      <c r="D15" s="33"/>
      <c r="E15" s="39"/>
      <c r="F15" s="40"/>
    </row>
    <row r="16" spans="2:6" x14ac:dyDescent="0.25">
      <c r="B16" s="61">
        <v>45200</v>
      </c>
      <c r="C16" s="62"/>
      <c r="D16" s="33"/>
      <c r="E16" s="39"/>
      <c r="F16" s="40"/>
    </row>
    <row r="17" spans="2:6" x14ac:dyDescent="0.25">
      <c r="B17" s="61">
        <v>45231</v>
      </c>
      <c r="C17" s="62"/>
      <c r="D17" s="33"/>
      <c r="E17" s="39"/>
      <c r="F17" s="40"/>
    </row>
    <row r="18" spans="2:6" x14ac:dyDescent="0.25">
      <c r="B18" s="61">
        <v>45261</v>
      </c>
      <c r="C18" s="62"/>
      <c r="D18" s="33"/>
      <c r="E18" s="39"/>
      <c r="F18" s="40"/>
    </row>
    <row r="19" spans="2:6" x14ac:dyDescent="0.25">
      <c r="B19" s="61"/>
      <c r="C19" s="62"/>
      <c r="D19" s="33"/>
      <c r="E19" s="39"/>
      <c r="F19" s="40"/>
    </row>
    <row r="20" spans="2:6" x14ac:dyDescent="0.25">
      <c r="B20" s="17" t="s">
        <v>104</v>
      </c>
      <c r="C20" s="63">
        <f>E10/100</f>
        <v>1.6327433628318584</v>
      </c>
      <c r="D20" s="64"/>
      <c r="E20" s="65"/>
      <c r="F20" s="29"/>
    </row>
    <row r="21" spans="2:6" ht="15.75" thickBot="1" x14ac:dyDescent="0.3">
      <c r="B21" s="66"/>
      <c r="C21" s="67"/>
      <c r="D21" s="42"/>
      <c r="E21" s="42"/>
      <c r="F21" s="43"/>
    </row>
    <row r="23" spans="2:6" x14ac:dyDescent="0.25">
      <c r="B23" s="205" t="s">
        <v>95</v>
      </c>
      <c r="C23" s="205"/>
      <c r="D23" s="2"/>
      <c r="E23" s="2"/>
      <c r="F23" s="2"/>
    </row>
    <row r="24" spans="2:6" x14ac:dyDescent="0.25">
      <c r="B24" s="69" t="s">
        <v>15</v>
      </c>
      <c r="C24" s="2" t="s">
        <v>105</v>
      </c>
      <c r="D24" s="2"/>
      <c r="E24" s="2"/>
      <c r="F24" s="2"/>
    </row>
    <row r="25" spans="2:6" ht="32.1" customHeight="1" x14ac:dyDescent="0.25">
      <c r="B25" s="115" t="s">
        <v>19</v>
      </c>
      <c r="C25" s="187" t="s">
        <v>106</v>
      </c>
      <c r="D25" s="187"/>
      <c r="E25" s="187"/>
      <c r="F25" s="187"/>
    </row>
    <row r="26" spans="2:6" x14ac:dyDescent="0.25">
      <c r="B26" s="69" t="s">
        <v>107</v>
      </c>
      <c r="C26" s="2" t="s">
        <v>108</v>
      </c>
      <c r="D26" s="2"/>
      <c r="E26" s="2"/>
      <c r="F26" s="2"/>
    </row>
  </sheetData>
  <mergeCells count="5">
    <mergeCell ref="B3:F3"/>
    <mergeCell ref="B4:F4"/>
    <mergeCell ref="B5:F5"/>
    <mergeCell ref="C25:F25"/>
    <mergeCell ref="B23:C23"/>
  </mergeCells>
  <pageMargins left="0.7" right="0.7" top="0.75" bottom="0.75" header="0.3" footer="0.3"/>
  <pageSetup orientation="portrait" r:id="rId1"/>
  <customProperties>
    <customPr name="EpmWorksheetKeyString_GUID" r:id="rId2"/>
  </customProperties>
  <ignoredErrors>
    <ignoredError sqref="B24:B2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sheetPr>
    <pageSetUpPr fitToPage="1"/>
  </sheetPr>
  <dimension ref="B1:H33"/>
  <sheetViews>
    <sheetView showGridLines="0" view="pageBreakPreview" zoomScale="80" zoomScaleNormal="80" zoomScaleSheetLayoutView="80" workbookViewId="0">
      <selection activeCell="G27" sqref="G27"/>
    </sheetView>
  </sheetViews>
  <sheetFormatPr defaultRowHeight="15" x14ac:dyDescent="0.25"/>
  <cols>
    <col min="1" max="1" width="3.28515625" customWidth="1"/>
    <col min="2" max="2" width="41" customWidth="1"/>
    <col min="3" max="3" width="12.7109375" customWidth="1"/>
    <col min="4" max="4" width="16.28515625" customWidth="1"/>
    <col min="5" max="5" width="13.28515625" customWidth="1"/>
    <col min="6" max="6" width="43.28515625" customWidth="1"/>
    <col min="7" max="7" width="16.7109375" customWidth="1"/>
    <col min="8" max="8" width="12.5703125" customWidth="1"/>
  </cols>
  <sheetData>
    <row r="1" spans="2:8" ht="23.25" x14ac:dyDescent="0.35">
      <c r="B1" s="68" t="s">
        <v>109</v>
      </c>
    </row>
    <row r="3" spans="2:8" x14ac:dyDescent="0.25">
      <c r="B3" s="90" t="s">
        <v>110</v>
      </c>
      <c r="C3" s="91">
        <f>11.7%</f>
        <v>0.11699999999999999</v>
      </c>
      <c r="D3" s="74" t="s">
        <v>15</v>
      </c>
    </row>
    <row r="5" spans="2:8" ht="15.75" thickBot="1" x14ac:dyDescent="0.3">
      <c r="B5" s="2"/>
      <c r="C5" s="2"/>
      <c r="D5" s="2"/>
    </row>
    <row r="6" spans="2:8" x14ac:dyDescent="0.25">
      <c r="B6" s="215" t="s">
        <v>30</v>
      </c>
      <c r="C6" s="216"/>
      <c r="D6" s="217"/>
      <c r="F6" s="215" t="s">
        <v>66</v>
      </c>
      <c r="G6" s="216"/>
      <c r="H6" s="217"/>
    </row>
    <row r="7" spans="2:8" x14ac:dyDescent="0.25">
      <c r="B7" s="212" t="s">
        <v>111</v>
      </c>
      <c r="C7" s="213"/>
      <c r="D7" s="214"/>
      <c r="F7" s="212" t="s">
        <v>112</v>
      </c>
      <c r="G7" s="213"/>
      <c r="H7" s="214"/>
    </row>
    <row r="8" spans="2:8" x14ac:dyDescent="0.25">
      <c r="B8" s="212" t="s">
        <v>113</v>
      </c>
      <c r="C8" s="213"/>
      <c r="D8" s="214"/>
      <c r="F8" s="212" t="s">
        <v>114</v>
      </c>
      <c r="G8" s="213"/>
      <c r="H8" s="214"/>
    </row>
    <row r="9" spans="2:8" ht="18" x14ac:dyDescent="0.25">
      <c r="B9" s="50"/>
      <c r="C9" s="33"/>
      <c r="D9" s="12"/>
      <c r="F9" s="86"/>
      <c r="G9" s="2"/>
      <c r="H9" s="8"/>
    </row>
    <row r="10" spans="2:8" x14ac:dyDescent="0.25">
      <c r="B10" s="3"/>
      <c r="C10" s="25" t="s">
        <v>115</v>
      </c>
      <c r="D10" s="24" t="s">
        <v>116</v>
      </c>
      <c r="F10" s="83"/>
      <c r="G10" s="84"/>
      <c r="H10" s="85"/>
    </row>
    <row r="11" spans="2:8" x14ac:dyDescent="0.25">
      <c r="B11" s="17" t="s">
        <v>117</v>
      </c>
      <c r="C11" s="62">
        <v>15.1</v>
      </c>
      <c r="D11" s="11">
        <v>0.19</v>
      </c>
      <c r="F11" s="70"/>
      <c r="H11" s="71"/>
    </row>
    <row r="12" spans="2:8" x14ac:dyDescent="0.25">
      <c r="B12" s="17" t="s">
        <v>118</v>
      </c>
      <c r="C12" s="62">
        <v>10.199999999999999</v>
      </c>
      <c r="D12" s="11">
        <v>0.18</v>
      </c>
      <c r="F12" s="79" t="s">
        <v>119</v>
      </c>
      <c r="G12" s="87">
        <v>44927</v>
      </c>
      <c r="H12" s="8"/>
    </row>
    <row r="13" spans="2:8" x14ac:dyDescent="0.25">
      <c r="B13" s="17" t="s">
        <v>120</v>
      </c>
      <c r="C13" s="62">
        <v>7.4</v>
      </c>
      <c r="D13" s="11">
        <v>0.63</v>
      </c>
      <c r="F13" s="70"/>
      <c r="H13" s="71"/>
    </row>
    <row r="14" spans="2:8" x14ac:dyDescent="0.25">
      <c r="B14" s="70"/>
      <c r="D14" s="71"/>
      <c r="F14" s="54" t="s">
        <v>121</v>
      </c>
      <c r="G14" s="88">
        <f>60.72</f>
        <v>60.72</v>
      </c>
      <c r="H14" s="29" t="s">
        <v>122</v>
      </c>
    </row>
    <row r="15" spans="2:8" x14ac:dyDescent="0.25">
      <c r="B15" s="17" t="s">
        <v>123</v>
      </c>
      <c r="C15" s="39">
        <f>SUMPRODUCT(C11:C13,D11:D13)</f>
        <v>9.3670000000000009</v>
      </c>
      <c r="D15" s="8"/>
      <c r="F15" s="54" t="s">
        <v>124</v>
      </c>
      <c r="G15" s="89">
        <v>5.5999999999999999E-3</v>
      </c>
      <c r="H15" s="29" t="s">
        <v>125</v>
      </c>
    </row>
    <row r="16" spans="2:8" x14ac:dyDescent="0.25">
      <c r="B16" s="17" t="s">
        <v>126</v>
      </c>
      <c r="C16" s="75">
        <f>C15/100</f>
        <v>9.3670000000000003E-2</v>
      </c>
      <c r="D16" s="8"/>
      <c r="F16" s="54" t="s">
        <v>127</v>
      </c>
      <c r="G16" s="88">
        <f>0.0111+0.0077</f>
        <v>1.8800000000000001E-2</v>
      </c>
      <c r="H16" s="29" t="s">
        <v>125</v>
      </c>
    </row>
    <row r="17" spans="2:8" ht="15.75" thickBot="1" x14ac:dyDescent="0.3">
      <c r="B17" s="76"/>
      <c r="C17" s="77"/>
      <c r="D17" s="78"/>
      <c r="F17" s="54" t="s">
        <v>128</v>
      </c>
      <c r="G17" s="88">
        <f>0.003+0.0004</f>
        <v>3.4000000000000002E-3</v>
      </c>
      <c r="H17" s="29" t="s">
        <v>125</v>
      </c>
    </row>
    <row r="18" spans="2:8" x14ac:dyDescent="0.25">
      <c r="F18" s="54" t="s">
        <v>129</v>
      </c>
      <c r="G18" s="88">
        <v>5.0000000000000001E-4</v>
      </c>
      <c r="H18" s="29" t="s">
        <v>125</v>
      </c>
    </row>
    <row r="19" spans="2:8" x14ac:dyDescent="0.25">
      <c r="B19" s="73" t="s">
        <v>95</v>
      </c>
      <c r="F19" s="54" t="s">
        <v>130</v>
      </c>
      <c r="G19" s="88">
        <v>1.0760000000000001</v>
      </c>
      <c r="H19" s="29"/>
    </row>
    <row r="20" spans="2:8" x14ac:dyDescent="0.25">
      <c r="B20" s="74" t="s">
        <v>131</v>
      </c>
      <c r="C20" s="72"/>
      <c r="F20" s="54" t="s">
        <v>132</v>
      </c>
      <c r="G20" s="88">
        <v>0.25</v>
      </c>
      <c r="H20" s="29" t="s">
        <v>122</v>
      </c>
    </row>
    <row r="21" spans="2:8" x14ac:dyDescent="0.25">
      <c r="B21" s="74" t="s">
        <v>133</v>
      </c>
      <c r="C21" s="2"/>
      <c r="F21" s="54" t="s">
        <v>134</v>
      </c>
      <c r="G21" s="69"/>
      <c r="H21" s="8"/>
    </row>
    <row r="22" spans="2:8" x14ac:dyDescent="0.25">
      <c r="B22" s="74" t="s">
        <v>135</v>
      </c>
      <c r="F22" s="82" t="s">
        <v>136</v>
      </c>
      <c r="G22" s="88">
        <v>0.42</v>
      </c>
      <c r="H22" s="29" t="s">
        <v>122</v>
      </c>
    </row>
    <row r="23" spans="2:8" x14ac:dyDescent="0.25">
      <c r="F23" s="80"/>
      <c r="G23" s="81"/>
      <c r="H23" s="28"/>
    </row>
    <row r="24" spans="2:8" x14ac:dyDescent="0.25">
      <c r="F24" s="9"/>
      <c r="G24" s="33"/>
      <c r="H24" s="8"/>
    </row>
    <row r="25" spans="2:8" x14ac:dyDescent="0.25">
      <c r="F25" s="54" t="s">
        <v>137</v>
      </c>
      <c r="G25" s="174">
        <f>SUM(G15:G18)+(G19)*C16</f>
        <v>0.12908892</v>
      </c>
      <c r="H25" s="29" t="s">
        <v>125</v>
      </c>
    </row>
    <row r="26" spans="2:8" x14ac:dyDescent="0.25">
      <c r="F26" s="54" t="s">
        <v>138</v>
      </c>
      <c r="G26" s="174">
        <f>(1-C3)*G25</f>
        <v>0.11398551636</v>
      </c>
      <c r="H26" s="29" t="s">
        <v>125</v>
      </c>
    </row>
    <row r="27" spans="2:8" x14ac:dyDescent="0.25">
      <c r="F27" s="54" t="s">
        <v>139</v>
      </c>
      <c r="G27" s="175">
        <f>(G25-G15)*(1-C3)</f>
        <v>0.10904071636</v>
      </c>
      <c r="H27" s="29" t="s">
        <v>125</v>
      </c>
    </row>
    <row r="28" spans="2:8" ht="15.75" thickBot="1" x14ac:dyDescent="0.3">
      <c r="F28" s="76"/>
      <c r="G28" s="77"/>
      <c r="H28" s="78"/>
    </row>
    <row r="30" spans="2:8" x14ac:dyDescent="0.25">
      <c r="F30" s="92" t="s">
        <v>140</v>
      </c>
    </row>
    <row r="31" spans="2:8" x14ac:dyDescent="0.25">
      <c r="F31" s="187" t="s">
        <v>141</v>
      </c>
      <c r="G31" s="187"/>
      <c r="H31" s="187"/>
    </row>
    <row r="32" spans="2:8" x14ac:dyDescent="0.25">
      <c r="F32" s="187"/>
      <c r="G32" s="187"/>
      <c r="H32" s="187"/>
    </row>
    <row r="33" spans="6:6" x14ac:dyDescent="0.25">
      <c r="F33" s="2" t="s">
        <v>142</v>
      </c>
    </row>
  </sheetData>
  <mergeCells count="7">
    <mergeCell ref="F31:H32"/>
    <mergeCell ref="B6:D6"/>
    <mergeCell ref="B7:D7"/>
    <mergeCell ref="B8:D8"/>
    <mergeCell ref="F6:H6"/>
    <mergeCell ref="F7:H7"/>
    <mergeCell ref="F8:H8"/>
  </mergeCells>
  <pageMargins left="0.7" right="0.7" top="0.75" bottom="0.75" header="0.3" footer="0.3"/>
  <pageSetup scale="76" orientation="landscape" r:id="rId1"/>
  <customProperties>
    <customPr name="EpmWorksheetKeyString_GUID" r:id="rId2"/>
  </customProperties>
  <ignoredErrors>
    <ignoredError sqref="D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97743091D2444D825ACC042164AA3B" ma:contentTypeVersion="7" ma:contentTypeDescription="Create a new document." ma:contentTypeScope="" ma:versionID="94b6fc9b1259a07fe53bcab90f64795c">
  <xsd:schema xmlns:xsd="http://www.w3.org/2001/XMLSchema" xmlns:xs="http://www.w3.org/2001/XMLSchema" xmlns:p="http://schemas.microsoft.com/office/2006/metadata/properties" xmlns:ns1="http://schemas.microsoft.com/sharepoint/v3" xmlns:ns2="a5538768-3d78-43e9-a45f-a2180521e8cf" xmlns:ns3="8ec7e0bc-03fc-49a5-930a-49f91df505fb" xmlns:ns4="4ad7de38-7437-4262-bf39-05826fc6f2ea" targetNamespace="http://schemas.microsoft.com/office/2006/metadata/properties" ma:root="true" ma:fieldsID="7948606994a222181c227fa3067a0b8f" ns1:_="" ns2:_="" ns3:_="" ns4:_="">
    <xsd:import namespace="http://schemas.microsoft.com/sharepoint/v3"/>
    <xsd:import namespace="a5538768-3d78-43e9-a45f-a2180521e8cf"/>
    <xsd:import namespace="8ec7e0bc-03fc-49a5-930a-49f91df505fb"/>
    <xsd:import namespace="4ad7de38-7437-4262-bf39-05826fc6f2e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ec7e0bc-03fc-49a5-930a-49f91df505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d7de38-7437-4262-bf39-05826fc6f2e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6f1b9f00-8d2c-4c36-af1d-c0006bf6acbf" ContentTypeId="0x0101" PreviousValue="false" LastSyncTimeStamp="2023-05-18T09:52:25.7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4E67DE4-202F-4215-891B-630311206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538768-3d78-43e9-a45f-a2180521e8cf"/>
    <ds:schemaRef ds:uri="8ec7e0bc-03fc-49a5-930a-49f91df505fb"/>
    <ds:schemaRef ds:uri="4ad7de38-7437-4262-bf39-05826fc6f2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8F8AE7-8E39-4640-AB46-CDC09F402A78}">
  <ds:schemaRefs>
    <ds:schemaRef ds:uri="http://schemas.microsoft.com/sharepoint/events"/>
  </ds:schemaRefs>
</ds:datastoreItem>
</file>

<file path=customXml/itemProps3.xml><?xml version="1.0" encoding="utf-8"?>
<ds:datastoreItem xmlns:ds="http://schemas.openxmlformats.org/officeDocument/2006/customXml" ds:itemID="{64D2E543-43F8-44CA-A4CD-F4B581C9B193}">
  <ds:schemaRefs>
    <ds:schemaRef ds:uri="Microsoft.SharePoint.Taxonomy.ContentTypeSync"/>
  </ds:schemaRefs>
</ds:datastoreItem>
</file>

<file path=customXml/itemProps4.xml><?xml version="1.0" encoding="utf-8"?>
<ds:datastoreItem xmlns:ds="http://schemas.openxmlformats.org/officeDocument/2006/customXml" ds:itemID="{89263CBA-C9C3-47BB-B0FF-205CE8FC0721}">
  <ds:schemaRefs>
    <ds:schemaRef ds:uri="http://schemas.microsoft.com/sharepoint/v3/contenttype/forms"/>
  </ds:schemaRefs>
</ds:datastoreItem>
</file>

<file path=customXml/itemProps5.xml><?xml version="1.0" encoding="utf-8"?>
<ds:datastoreItem xmlns:ds="http://schemas.openxmlformats.org/officeDocument/2006/customXml" ds:itemID="{ED367D5D-481D-41AA-9D39-4E3C6266B5D3}">
  <ds:schemaRefs>
    <ds:schemaRef ds:uri="http://schemas.openxmlformats.org/package/2006/metadata/core-properties"/>
    <ds:schemaRef ds:uri="http://purl.org/dc/terms/"/>
    <ds:schemaRef ds:uri="http://schemas.microsoft.com/office/infopath/2007/PartnerControls"/>
    <ds:schemaRef ds:uri="a5538768-3d78-43e9-a45f-a2180521e8cf"/>
    <ds:schemaRef ds:uri="http://schemas.microsoft.com/office/2006/documentManagement/types"/>
    <ds:schemaRef ds:uri="4ad7de38-7437-4262-bf39-05826fc6f2ea"/>
    <ds:schemaRef ds:uri="http://schemas.microsoft.com/office/2006/metadata/properties"/>
    <ds:schemaRef ds:uri="8ec7e0bc-03fc-49a5-930a-49f91df505fb"/>
    <ds:schemaRef ds:uri="http://purl.org/dc/elements/1.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Figure 1</vt:lpstr>
      <vt:lpstr>Table 1</vt:lpstr>
      <vt:lpstr>Price Comparison</vt:lpstr>
      <vt:lpstr>Efficiency-Adjusted Conversion</vt:lpstr>
      <vt:lpstr>Energy Conversion</vt:lpstr>
      <vt:lpstr>Efficiency Factors</vt:lpstr>
      <vt:lpstr>Natural Gas Price ($ per m3)</vt:lpstr>
      <vt:lpstr>Oil Price ($ per L)</vt:lpstr>
      <vt:lpstr>Electricity Price ($ per kWh)</vt:lpstr>
      <vt:lpstr>Propane Price ($ per 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Vanderveen</dc:creator>
  <cp:keywords/>
  <dc:description/>
  <cp:lastModifiedBy>Eric VanRuymbeke</cp:lastModifiedBy>
  <cp:revision/>
  <dcterms:created xsi:type="dcterms:W3CDTF">2023-04-11T14:56:51Z</dcterms:created>
  <dcterms:modified xsi:type="dcterms:W3CDTF">2024-01-02T21:22:11Z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_AdHocReviewCycleID">
    <vt:i4>629239767</vt:i4>
  </property>
  <property fmtid="{D5CDD505-2E9C-101B-9397-08002B2CF9AE}" pid="10" name="_NewReviewCycle">
    <vt:lpwstr/>
  </property>
  <property fmtid="{D5CDD505-2E9C-101B-9397-08002B2CF9AE}" pid="11" name="_EmailSubject">
    <vt:lpwstr>EB-2023-0201 - Eganville IRR - ED.1 c) + d) - Attachment 1</vt:lpwstr>
  </property>
  <property fmtid="{D5CDD505-2E9C-101B-9397-08002B2CF9AE}" pid="12" name="_AuthorEmail">
    <vt:lpwstr>Jenna.Vanderveen@enbridge.com</vt:lpwstr>
  </property>
  <property fmtid="{D5CDD505-2E9C-101B-9397-08002B2CF9AE}" pid="13" name="_AuthorEmailDisplayName">
    <vt:lpwstr>Jenna Vanderveen</vt:lpwstr>
  </property>
  <property fmtid="{D5CDD505-2E9C-101B-9397-08002B2CF9AE}" pid="14" name="ContentTypeId">
    <vt:lpwstr>0x0101008197743091D2444D825ACC042164AA3B</vt:lpwstr>
  </property>
  <property fmtid="{D5CDD505-2E9C-101B-9397-08002B2CF9AE}" pid="15" name="_ReviewingToolsShownOnce">
    <vt:lpwstr/>
  </property>
</Properties>
</file>